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25" documentId="8_{D71F26D3-2539-4A9B-8D1C-88648222DA16}" xr6:coauthVersionLast="47" xr6:coauthVersionMax="47" xr10:uidLastSave="{42880148-EBAD-4705-B544-CA43E93524DF}"/>
  <bookViews>
    <workbookView xWindow="-110" yWindow="-110" windowWidth="19420" windowHeight="10300" xr2:uid="{6AF04D03-3FFF-482B-ADA3-9E84988EE023}"/>
  </bookViews>
  <sheets>
    <sheet name="MeinBrot40.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1" l="1"/>
  <c r="B20" i="1"/>
  <c r="B166" i="1"/>
  <c r="D51" i="1"/>
  <c r="D43" i="1"/>
  <c r="D44" i="1"/>
  <c r="B25" i="1" l="1"/>
  <c r="B115" i="1" l="1"/>
  <c r="B168" i="1" s="1"/>
  <c r="B163" i="1"/>
  <c r="D93" i="1" l="1"/>
  <c r="A91" i="1"/>
  <c r="A126" i="1" s="1"/>
  <c r="B164" i="1"/>
  <c r="B162" i="1"/>
  <c r="A55" i="1"/>
  <c r="A105" i="1" s="1"/>
  <c r="A84" i="1"/>
  <c r="A77" i="1"/>
  <c r="A70" i="1"/>
  <c r="A63" i="1"/>
  <c r="D126" i="1" l="1"/>
  <c r="B126" i="1" s="1"/>
  <c r="D58" i="1"/>
  <c r="D57" i="1" l="1"/>
  <c r="D59" i="1"/>
  <c r="B59" i="1" s="1"/>
  <c r="B58" i="1"/>
  <c r="D66" i="1" l="1"/>
  <c r="D65" i="1" s="1"/>
  <c r="D73" i="1"/>
  <c r="D72" i="1" s="1"/>
  <c r="D80" i="1"/>
  <c r="D79" i="1" s="1"/>
  <c r="D77" i="1" s="1"/>
  <c r="D108" i="1" s="1"/>
  <c r="B108" i="1" s="1"/>
  <c r="D87" i="1"/>
  <c r="B87" i="1" l="1"/>
  <c r="B93" i="1"/>
  <c r="D91" i="1"/>
  <c r="D86" i="1"/>
  <c r="D84" i="1" s="1"/>
  <c r="D125" i="1" s="1"/>
  <c r="B79" i="1"/>
  <c r="D70" i="1"/>
  <c r="B72" i="1"/>
  <c r="B65" i="1"/>
  <c r="D63" i="1"/>
  <c r="B73" i="1"/>
  <c r="B80" i="1"/>
  <c r="B66" i="1"/>
  <c r="B173" i="1" l="1"/>
  <c r="C92" i="1"/>
  <c r="B86" i="1"/>
  <c r="B84" i="1" s="1"/>
  <c r="B63" i="1"/>
  <c r="B70" i="1"/>
  <c r="B77" i="1"/>
  <c r="B121" i="1"/>
  <c r="A104" i="1"/>
  <c r="A52" i="1" l="1"/>
  <c r="C17" i="1"/>
  <c r="B171" i="1"/>
  <c r="A125" i="1" l="1"/>
  <c r="B179" i="1"/>
  <c r="D116" i="1"/>
  <c r="B116" i="1" s="1"/>
  <c r="B167" i="1" s="1"/>
  <c r="E167" i="1" s="1"/>
  <c r="C167" i="1" l="1"/>
  <c r="F167" i="1"/>
  <c r="G167" i="1"/>
  <c r="D167" i="1"/>
  <c r="A108" i="1"/>
  <c r="B170" i="1"/>
  <c r="B177" i="1" l="1"/>
  <c r="B125" i="1"/>
  <c r="A107" i="1" l="1"/>
  <c r="D110" i="1"/>
  <c r="D111" i="1"/>
  <c r="B111" i="1" s="1"/>
  <c r="D112" i="1"/>
  <c r="D113" i="1"/>
  <c r="B113" i="1" s="1"/>
  <c r="D114" i="1"/>
  <c r="B114" i="1" s="1"/>
  <c r="F164" i="1"/>
  <c r="B165" i="1"/>
  <c r="G165" i="1" s="1"/>
  <c r="G162" i="1"/>
  <c r="G171" i="1"/>
  <c r="B161" i="1"/>
  <c r="G161" i="1" s="1"/>
  <c r="G183" i="1"/>
  <c r="F183" i="1"/>
  <c r="E183" i="1"/>
  <c r="D183" i="1"/>
  <c r="C183" i="1"/>
  <c r="G182" i="1"/>
  <c r="F182" i="1"/>
  <c r="E182" i="1"/>
  <c r="D182" i="1"/>
  <c r="C182" i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7" i="1"/>
  <c r="F177" i="1"/>
  <c r="E177" i="1"/>
  <c r="D177" i="1"/>
  <c r="C177" i="1"/>
  <c r="G175" i="1"/>
  <c r="F175" i="1"/>
  <c r="E175" i="1"/>
  <c r="D175" i="1"/>
  <c r="C175" i="1"/>
  <c r="G174" i="1"/>
  <c r="F174" i="1"/>
  <c r="E174" i="1"/>
  <c r="D174" i="1"/>
  <c r="C174" i="1"/>
  <c r="G172" i="1"/>
  <c r="F172" i="1"/>
  <c r="E172" i="1"/>
  <c r="D172" i="1"/>
  <c r="C172" i="1"/>
  <c r="B112" i="1" l="1"/>
  <c r="B110" i="1"/>
  <c r="C165" i="1"/>
  <c r="D165" i="1"/>
  <c r="C171" i="1"/>
  <c r="D171" i="1"/>
  <c r="C164" i="1"/>
  <c r="E165" i="1"/>
  <c r="F165" i="1"/>
  <c r="E164" i="1"/>
  <c r="G164" i="1"/>
  <c r="D164" i="1"/>
  <c r="E162" i="1"/>
  <c r="F162" i="1"/>
  <c r="E171" i="1"/>
  <c r="F171" i="1"/>
  <c r="C162" i="1"/>
  <c r="D162" i="1"/>
  <c r="C161" i="1"/>
  <c r="D161" i="1"/>
  <c r="E161" i="1"/>
  <c r="F161" i="1"/>
  <c r="C126" i="1"/>
  <c r="B176" i="1" l="1"/>
  <c r="D176" i="1" s="1"/>
  <c r="D173" i="1"/>
  <c r="C173" i="1"/>
  <c r="G173" i="1"/>
  <c r="F173" i="1"/>
  <c r="E173" i="1"/>
  <c r="E176" i="1" l="1"/>
  <c r="C176" i="1"/>
  <c r="G176" i="1"/>
  <c r="F176" i="1"/>
  <c r="F148" i="1"/>
  <c r="B117" i="1"/>
  <c r="D109" i="1"/>
  <c r="F147" i="1" l="1"/>
  <c r="F145" i="1" s="1"/>
  <c r="F138" i="1" s="1"/>
  <c r="F137" i="1" s="1"/>
  <c r="B127" i="1"/>
  <c r="B109" i="1"/>
  <c r="F141" i="1" l="1"/>
  <c r="F142" i="1"/>
  <c r="F131" i="1" s="1"/>
  <c r="F122" i="1" s="1"/>
  <c r="F168" i="1"/>
  <c r="E168" i="1"/>
  <c r="C168" i="1"/>
  <c r="D168" i="1"/>
  <c r="G168" i="1"/>
  <c r="F170" i="1"/>
  <c r="E170" i="1"/>
  <c r="D170" i="1"/>
  <c r="C170" i="1"/>
  <c r="G170" i="1"/>
  <c r="A106" i="1"/>
  <c r="D106" i="1" l="1"/>
  <c r="D107" i="1"/>
  <c r="B107" i="1" s="1"/>
  <c r="B106" i="1" l="1"/>
  <c r="F119" i="1" l="1"/>
  <c r="F102" i="1" l="1"/>
  <c r="F61" i="1" s="1"/>
  <c r="F56" i="1" s="1"/>
  <c r="F53" i="1" l="1"/>
  <c r="F48" i="1" s="1"/>
  <c r="F45" i="1" l="1"/>
  <c r="F41" i="1" s="1"/>
  <c r="F46" i="1"/>
  <c r="B44" i="1"/>
  <c r="D42" i="1"/>
  <c r="D40" i="1" l="1"/>
  <c r="D52" i="1" s="1"/>
  <c r="B42" i="1"/>
  <c r="B43" i="1"/>
  <c r="D49" i="1" l="1"/>
  <c r="D50" i="1"/>
  <c r="B40" i="1"/>
  <c r="C163" i="1"/>
  <c r="G163" i="1"/>
  <c r="E163" i="1"/>
  <c r="F163" i="1"/>
  <c r="D163" i="1"/>
  <c r="C166" i="1"/>
  <c r="D166" i="1"/>
  <c r="E166" i="1"/>
  <c r="F166" i="1"/>
  <c r="G166" i="1"/>
  <c r="A21" i="1"/>
  <c r="B50" i="1" l="1"/>
  <c r="D120" i="1"/>
  <c r="B120" i="1" s="1"/>
  <c r="B169" i="1" s="1"/>
  <c r="D26" i="1"/>
  <c r="B51" i="1"/>
  <c r="D47" i="1"/>
  <c r="D104" i="1" s="1"/>
  <c r="B49" i="1"/>
  <c r="B52" i="1"/>
  <c r="B47" i="1" l="1"/>
  <c r="B104" i="1" s="1"/>
  <c r="B103" i="1"/>
  <c r="D169" i="1"/>
  <c r="G169" i="1"/>
  <c r="C169" i="1"/>
  <c r="F169" i="1"/>
  <c r="E169" i="1"/>
  <c r="D55" i="1" l="1"/>
  <c r="D105" i="1" s="1"/>
  <c r="D101" i="1" s="1"/>
  <c r="B57" i="1"/>
  <c r="B26" i="1" s="1"/>
  <c r="B160" i="1" l="1"/>
  <c r="B55" i="1"/>
  <c r="B105" i="1" s="1"/>
  <c r="B101" i="1" s="1"/>
  <c r="F7" i="1" s="1"/>
  <c r="B184" i="1" l="1"/>
  <c r="B186" i="1" s="1"/>
  <c r="B33" i="1" s="1"/>
  <c r="E160" i="1"/>
  <c r="E184" i="1" s="1"/>
  <c r="G160" i="1"/>
  <c r="G184" i="1" s="1"/>
  <c r="F160" i="1"/>
  <c r="F184" i="1" s="1"/>
  <c r="D160" i="1"/>
  <c r="D184" i="1" s="1"/>
  <c r="C160" i="1"/>
  <c r="C184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<sst xmlns="http://schemas.openxmlformats.org/spreadsheetml/2006/main" count="213" uniqueCount="134">
  <si>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</si>
  <si>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</si>
  <si>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</si>
  <si>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</si>
  <si>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</si>
  <si>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</si>
  <si>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</si>
  <si>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</si>
  <si>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</si>
  <si>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</si>
  <si>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</si>
  <si>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</si>
  <si>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</si>
  <si>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</si>
  <si>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</si>
  <si>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</si>
  <si>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</si>
  <si>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</si>
  <si>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</si>
  <si>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</si>
  <si>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</si>
  <si>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</si>
  <si>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</si>
  <si>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</si>
  <si>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</si>
  <si>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</si>
  <si>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</si>
  <si>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</si>
  <si>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</si>
  <si>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4. Stückgare</t>
  </si>
  <si>
    <t>Teiglinge abstechen, auf Spannung bringen und formen</t>
  </si>
  <si>
    <t>hh:mm</t>
  </si>
  <si>
    <t>Anbacken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</si>
  <si>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</si>
  <si>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</si>
  <si>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</si>
  <si>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</si>
  <si>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</si>
  <si>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</si>
  <si>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</si>
  <si>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</si>
  <si>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</si>
  <si>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</si>
  <si>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</si>
  <si>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</si>
  <si>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</si>
  <si>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</si>
  <si>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</si>
  <si>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</si>
  <si>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</si>
  <si>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</si>
  <si>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</si>
  <si>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</si>
  <si>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</si>
  <si>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</si>
  <si>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</si>
  <si>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</si>
  <si>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</si>
  <si>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</si>
  <si>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5. Backen</t>
  </si>
  <si>
    <t>Folgende Zutaten abwiegen</t>
  </si>
  <si>
    <t>Mehl mit Wasser überbrühen und umrühren bis kein Mehl mehr zu sehen ist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</si>
  <si>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</si>
  <si>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</si>
  <si>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</si>
  <si>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</si>
  <si>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</si>
  <si>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</si>
  <si>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</si>
  <si>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</si>
  <si>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</si>
  <si>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</si>
  <si>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</si>
  <si>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</si>
  <si>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</si>
  <si>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</si>
  <si>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</si>
  <si>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</si>
  <si>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</si>
  <si>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Teiglinge aus der Kühlung nehmen, auf Backpapier legen, Schluss unten</t>
  </si>
  <si>
    <t>Aktive Zubereitungszeit:</t>
  </si>
  <si>
    <t>1.a Sauerteig Stufe I</t>
  </si>
  <si>
    <t>Reife</t>
  </si>
  <si>
    <t>Bassinage, Wasser ca.</t>
  </si>
  <si>
    <t xml:space="preserve">&gt; Seite 3: Hauptteig </t>
  </si>
  <si>
    <t>Optional: Brotgewürze</t>
  </si>
  <si>
    <t>Weitere Zutaten/Vorstufen, max. 20%</t>
  </si>
  <si>
    <t>(geröstete) Haferflocken</t>
  </si>
  <si>
    <t>1.b Sauerteig Stufe II</t>
  </si>
  <si>
    <t>Mindest-Quellzeit</t>
  </si>
  <si>
    <t>Teigling einschneiden und nach Belieben mit Saaten oder Flocken bestreuen</t>
  </si>
  <si>
    <t>Passive Quell- und Reifezeiten:</t>
  </si>
  <si>
    <t>Folgende Zutaten abwiegen und kneten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</si>
  <si>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</si>
  <si>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</si>
  <si>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</si>
  <si>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</si>
  <si>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</si>
  <si>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</si>
  <si>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</si>
  <si>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Alternativ, wenn Teig noch nicht ausgeknetet wurde: In den ersten zwei Stunden der Stockgare vier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</si>
  <si>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</si>
  <si>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</si>
  <si>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</si>
  <si>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</si>
  <si>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</si>
  <si>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</si>
  <si>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</si>
  <si>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</si>
  <si>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</si>
  <si>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</si>
  <si>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</si>
  <si>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</si>
  <si>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</si>
  <si>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</si>
  <si>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mal dehnen und falten</t>
  </si>
  <si>
    <t>Sauerteig-Anstellgut TA200</t>
  </si>
  <si>
    <t>Mehl im alten Sauerteig-Anstellgut TA 200</t>
  </si>
  <si>
    <t>Optional: Backhefe</t>
  </si>
  <si>
    <t>Roggenmehl in Sauerteigvorstufe</t>
  </si>
  <si>
    <t>Roggenmehl nach Wahl</t>
  </si>
  <si>
    <t>Stückgare im Kasten, Schluss unten</t>
  </si>
  <si>
    <t>Intensiv mischen und kneten</t>
  </si>
  <si>
    <t>Stockgare im Kessel</t>
  </si>
  <si>
    <t>Bei Weizen- und Dinkel(misch)teigen: Zutaten mischen bis kein Mehl und kein Wasser mehr zu sehen ist.</t>
  </si>
  <si>
    <t>Weizen- oder Dinkel(mischbrote): Nach 30 und 60 Minuten dehnen und falten</t>
  </si>
  <si>
    <t>Backstein aufheizen</t>
  </si>
  <si>
    <t>Teigling mit Wasser besprühen, in Backofen schieben und sofort schwaden schließen</t>
  </si>
  <si>
    <t>Schwaden nach 10 Minuten ablassen nach halber Backzeit entfernen</t>
  </si>
  <si>
    <t>Mein Brot 40.2</t>
  </si>
  <si>
    <r>
      <rPr>
        <b/>
        <sz val="14"/>
        <rFont val="Tahoma"/>
        <family val="2"/>
      </rPr>
      <t>Mein Brot 40.2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(optional: Backhefe). Dieses Brot eignet sich für Roggen- und Roggenmischbrote in Bioqualität mit einem Roggenanteil von mindestens 40%.
</t>
    </r>
  </si>
  <si>
    <t>Alternative Reife für ein milderes Brot</t>
  </si>
  <si>
    <t>Mehlsorten in den Vorstufen, max. 50%</t>
  </si>
  <si>
    <t>~ 22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</si>
</sst>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168" fontId="3" fillId="0" borderId="0" xfId="0" applyNumberFormat="1" applyFont="1" applyProtection="1">
      <protection hidden="1"/>
    </xf>
    <xf numFmtId="167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69" fontId="4" fillId="0" borderId="1" xfId="0" applyNumberFormat="1" applyFont="1" applyBorder="1" applyProtection="1"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9" fontId="1" fillId="2" borderId="16" xfId="0" applyNumberFormat="1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9" fontId="11" fillId="3" borderId="1" xfId="0" applyNumberFormat="1" applyFont="1" applyFill="1" applyBorder="1" applyProtection="1">
      <protection hidden="1"/>
    </xf>
    <xf numFmtId="0" fontId="11" fillId="3" borderId="1" xfId="0" applyFont="1" applyFill="1" applyBorder="1" applyProtection="1">
      <protection hidden="1"/>
    </xf>
    <xf numFmtId="9" fontId="11" fillId="3" borderId="1" xfId="0" applyNumberFormat="1" applyFont="1" applyFill="1" applyBorder="1" applyProtection="1">
      <protection hidden="1"/>
    </xf>
    <xf numFmtId="0" fontId="10" fillId="0" borderId="1" xfId="0" applyFont="1" applyBorder="1" applyProtection="1">
      <protection hidden="1"/>
    </xf>
    <xf numFmtId="22" fontId="8" fillId="0" borderId="1" xfId="0" applyNumberFormat="1" applyFont="1" applyBorder="1" applyAlignment="1" applyProtection="1">
      <alignment horizontal="center"/>
      <protection hidden="1"/>
    </xf>
    <xf numFmtId="165" fontId="4" fillId="0" borderId="1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22" fontId="4" fillId="0" borderId="1" xfId="0" applyNumberFormat="1" applyFont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7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167" fontId="10" fillId="4" borderId="3" xfId="0" applyNumberFormat="1" applyFont="1" applyFill="1" applyBorder="1" applyAlignment="1" applyProtection="1">
      <alignment horizontal="right"/>
      <protection hidden="1"/>
    </xf>
    <xf numFmtId="168" fontId="19" fillId="0" borderId="1" xfId="0" applyNumberFormat="1" applyFont="1" applyBorder="1" applyProtection="1">
      <protection hidden="1"/>
    </xf>
    <xf numFmtId="22" fontId="3" fillId="0" borderId="0" xfId="0" applyNumberFormat="1" applyFont="1" applyProtection="1"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6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</cellXfs>
  <cellStyles count="1">
    <cellStyle name="Standard" xfId="0" builtinId="0"/>
  </cellStyles>
  <dxfs count="20">
    <dxf>
      <font>
        <strike val="0"/>
        <color theme="0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62</xdr:row>
      <xdr:rowOff>80931</xdr:rowOff>
    </xdr:from>
    <xdr:to>
      <xdr:col>5</xdr:col>
      <xdr:colOff>211667</xdr:colOff>
      <xdr:row>98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9"/>
  <sheetViews>
    <sheetView tabSelected="1" zoomScale="110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50" customHeight="1" x14ac:dyDescent="0.25">
      <c r="A1" s="212" t="s">
        <v>130</v>
      </c>
      <c r="B1" s="212"/>
      <c r="C1" s="212"/>
      <c r="D1" s="212"/>
      <c r="E1" s="212"/>
      <c r="F1" s="212"/>
      <c r="K1" s="2"/>
    </row>
    <row r="2" spans="1:11" s="1" customFormat="1" ht="13" customHeight="1" thickBot="1" x14ac:dyDescent="0.3">
      <c r="A2" s="114"/>
      <c r="B2" s="114"/>
      <c r="C2" s="114"/>
      <c r="D2" s="114"/>
      <c r="E2" s="114"/>
      <c r="F2" s="114"/>
      <c r="K2" s="2"/>
    </row>
    <row r="3" spans="1:11" ht="13" customHeight="1" thickBot="1" x14ac:dyDescent="0.3">
      <c r="A3" s="215" t="s">
        <v>77</v>
      </c>
      <c r="B3" s="216"/>
      <c r="C3" s="216"/>
      <c r="D3" s="216"/>
      <c r="E3" s="216"/>
      <c r="F3" s="217"/>
    </row>
    <row r="4" spans="1:11" ht="13" customHeight="1" thickBot="1" x14ac:dyDescent="0.3">
      <c r="A4" s="3" t="s">
        <v>0</v>
      </c>
      <c r="B4" s="3"/>
      <c r="C4" s="3"/>
      <c r="D4" s="213" t="s">
        <v>68</v>
      </c>
      <c r="E4" s="213"/>
      <c r="F4" s="110">
        <v>46177</v>
      </c>
    </row>
    <row r="5" spans="1:11" ht="13" customHeight="1" thickBot="1" x14ac:dyDescent="0.3">
      <c r="A5" s="4" t="s">
        <v>1</v>
      </c>
      <c r="B5" s="4"/>
      <c r="C5" s="4"/>
      <c r="D5" s="214" t="s">
        <v>2</v>
      </c>
      <c r="E5" s="214"/>
      <c r="F5" s="5">
        <v>0.625</v>
      </c>
    </row>
    <row r="6" spans="1:11" ht="13" customHeight="1" thickBot="1" x14ac:dyDescent="0.3">
      <c r="A6" s="4" t="s">
        <v>3</v>
      </c>
      <c r="B6" s="4"/>
      <c r="C6" s="4"/>
      <c r="D6" s="80"/>
      <c r="E6" s="80" t="s">
        <v>4</v>
      </c>
      <c r="F6" s="6">
        <v>500</v>
      </c>
    </row>
    <row r="7" spans="1:11" s="201" customFormat="1" ht="50" customHeight="1" thickBot="1" x14ac:dyDescent="0.4">
      <c r="A7" s="198"/>
      <c r="B7" s="198"/>
      <c r="C7" s="198"/>
      <c r="D7" s="198"/>
      <c r="E7" s="199" t="s">
        <v>5</v>
      </c>
      <c r="F7" s="200">
        <f>ROUNDDOWN(B101*86%,-1)</f>
        <v>740</v>
      </c>
    </row>
    <row r="8" spans="1:11" ht="13" customHeight="1" thickBot="1" x14ac:dyDescent="0.3">
      <c r="A8" s="215" t="s">
        <v>6</v>
      </c>
      <c r="B8" s="217"/>
      <c r="C8" s="7"/>
      <c r="D8" s="218" t="s">
        <v>86</v>
      </c>
      <c r="E8" s="219"/>
      <c r="F8" s="220"/>
    </row>
    <row r="9" spans="1:11" ht="13" customHeight="1" thickBot="1" x14ac:dyDescent="0.3">
      <c r="A9" s="3" t="s">
        <v>7</v>
      </c>
      <c r="B9" s="111">
        <v>0</v>
      </c>
      <c r="C9" s="7"/>
      <c r="D9" s="112" t="s">
        <v>95</v>
      </c>
      <c r="E9" s="159"/>
      <c r="F9" s="111">
        <v>0</v>
      </c>
    </row>
    <row r="10" spans="1:11" ht="13" customHeight="1" thickBot="1" x14ac:dyDescent="0.3">
      <c r="A10" s="4" t="s">
        <v>9</v>
      </c>
      <c r="B10" s="8">
        <v>0.1</v>
      </c>
      <c r="C10" s="7"/>
      <c r="D10" s="86" t="s">
        <v>48</v>
      </c>
      <c r="E10" s="87"/>
      <c r="F10" s="8">
        <v>0</v>
      </c>
    </row>
    <row r="11" spans="1:11" ht="13" customHeight="1" thickBot="1" x14ac:dyDescent="0.3">
      <c r="A11" s="4" t="s">
        <v>10</v>
      </c>
      <c r="B11" s="8">
        <v>0.2</v>
      </c>
      <c r="C11" s="7"/>
      <c r="D11" s="86" t="s">
        <v>101</v>
      </c>
      <c r="E11" s="87"/>
      <c r="F11" s="8">
        <v>0</v>
      </c>
    </row>
    <row r="12" spans="1:11" ht="13" customHeight="1" thickBot="1" x14ac:dyDescent="0.3">
      <c r="A12" s="20" t="s">
        <v>11</v>
      </c>
      <c r="B12" s="62">
        <v>0.1</v>
      </c>
      <c r="C12" s="7"/>
      <c r="D12" s="86" t="s">
        <v>103</v>
      </c>
      <c r="E12" s="160"/>
      <c r="F12" s="8">
        <v>0</v>
      </c>
    </row>
    <row r="13" spans="1:11" ht="13" customHeight="1" thickBot="1" x14ac:dyDescent="0.3">
      <c r="A13" s="20" t="s">
        <v>12</v>
      </c>
      <c r="B13" s="62">
        <v>0</v>
      </c>
      <c r="C13" s="7"/>
      <c r="D13" s="115" t="s">
        <v>63</v>
      </c>
      <c r="E13" s="116"/>
      <c r="F13" s="8">
        <v>0</v>
      </c>
    </row>
    <row r="14" spans="1:11" ht="13" customHeight="1" thickBot="1" x14ac:dyDescent="0.3">
      <c r="A14" s="20" t="s">
        <v>13</v>
      </c>
      <c r="B14" s="62">
        <v>0.2</v>
      </c>
      <c r="C14" s="7"/>
    </row>
    <row r="15" spans="1:11" ht="13" hidden="1" customHeight="1" thickBot="1" x14ac:dyDescent="0.3">
      <c r="A15" s="197" t="s">
        <v>117</v>
      </c>
      <c r="B15" s="62">
        <v>0</v>
      </c>
      <c r="C15" s="136"/>
    </row>
    <row r="16" spans="1:11" ht="13" customHeight="1" thickBot="1" x14ac:dyDescent="0.3">
      <c r="A16" s="215" t="s">
        <v>132</v>
      </c>
      <c r="B16" s="217"/>
      <c r="C16" s="7"/>
    </row>
    <row r="17" spans="1:7" ht="13" customHeight="1" thickBot="1" x14ac:dyDescent="0.3">
      <c r="A17" s="20" t="s">
        <v>78</v>
      </c>
      <c r="B17" s="62">
        <v>0</v>
      </c>
      <c r="C17" s="136" t="str">
        <f>IF(B17&gt;15.01%,"max. 15%"," ")</f>
        <v xml:space="preserve"> </v>
      </c>
      <c r="D17" s="210" t="s">
        <v>69</v>
      </c>
      <c r="E17" s="210"/>
      <c r="F17" s="210"/>
    </row>
    <row r="18" spans="1:7" ht="13" customHeight="1" x14ac:dyDescent="0.25">
      <c r="A18" s="180" t="s">
        <v>119</v>
      </c>
      <c r="B18" s="181">
        <v>0.4</v>
      </c>
      <c r="C18" s="136"/>
      <c r="D18" s="210"/>
      <c r="E18" s="210"/>
      <c r="F18" s="210"/>
    </row>
    <row r="19" spans="1:7" ht="13" hidden="1" customHeight="1" thickBot="1" x14ac:dyDescent="0.3">
      <c r="A19" s="180" t="s">
        <v>98</v>
      </c>
      <c r="B19" s="8">
        <v>0</v>
      </c>
      <c r="C19" s="136"/>
      <c r="D19" s="210"/>
      <c r="E19" s="210"/>
      <c r="F19" s="210"/>
    </row>
    <row r="20" spans="1:7" ht="13" customHeight="1" thickBot="1" x14ac:dyDescent="0.3">
      <c r="A20" s="138" t="s">
        <v>62</v>
      </c>
      <c r="B20" s="139">
        <f>SUM(B9:B19)</f>
        <v>1</v>
      </c>
      <c r="D20" s="210"/>
      <c r="E20" s="210"/>
      <c r="F20" s="210"/>
    </row>
    <row r="21" spans="1:7" s="9" customFormat="1" ht="13" customHeight="1" x14ac:dyDescent="0.25">
      <c r="A21" s="161" t="str">
        <f>IF($B$20=100%," ","Eingabe prüfen. Summe muss 100% sein.")</f>
        <v xml:space="preserve"> </v>
      </c>
      <c r="C21" s="162"/>
      <c r="F21" s="137"/>
    </row>
    <row r="22" spans="1:7" s="9" customFormat="1" ht="50" customHeight="1" x14ac:dyDescent="0.25">
      <c r="A22" s="163" t="s">
        <v>74</v>
      </c>
      <c r="B22" s="163"/>
      <c r="C22" s="163"/>
      <c r="F22" s="137"/>
    </row>
    <row r="23" spans="1:7" s="9" customFormat="1" ht="13" customHeight="1" x14ac:dyDescent="0.25">
      <c r="A23" s="10" t="s">
        <v>80</v>
      </c>
      <c r="B23" s="132" t="s">
        <v>70</v>
      </c>
      <c r="D23" s="133"/>
      <c r="E23" s="125"/>
      <c r="F23" s="126"/>
    </row>
    <row r="24" spans="1:7" s="12" customFormat="1" ht="13" customHeight="1" x14ac:dyDescent="0.25">
      <c r="A24" s="12" t="s">
        <v>91</v>
      </c>
      <c r="B24" s="178" t="s">
        <v>133</v>
      </c>
      <c r="D24" s="179"/>
      <c r="E24" s="125"/>
      <c r="F24" s="126"/>
    </row>
    <row r="25" spans="1:7" s="9" customFormat="1" ht="13" customHeight="1" x14ac:dyDescent="0.25">
      <c r="A25" s="9" t="s">
        <v>14</v>
      </c>
      <c r="B25" s="127">
        <f>F6</f>
        <v>500</v>
      </c>
      <c r="C25" s="130" t="s">
        <v>15</v>
      </c>
      <c r="D25" s="133">
        <v>1</v>
      </c>
      <c r="E25" s="125"/>
      <c r="F25" s="126"/>
    </row>
    <row r="26" spans="1:7" s="9" customFormat="1" ht="13" customHeight="1" x14ac:dyDescent="0.25">
      <c r="A26" s="9" t="s">
        <v>67</v>
      </c>
      <c r="B26" s="127">
        <f>B42+B44/2+B49+B57+B65+B72+B79+B86+B93*0.5+B103</f>
        <v>358</v>
      </c>
      <c r="C26" s="130" t="s">
        <v>15</v>
      </c>
      <c r="D26" s="133">
        <f>D42+D44/2+D49+D57+D65+D72+D79+D86+D93*0.75+D103</f>
        <v>0.71899999999999997</v>
      </c>
      <c r="E26" s="127"/>
      <c r="F26" s="12"/>
      <c r="G26" s="38"/>
    </row>
    <row r="27" spans="1:7" s="9" customFormat="1" ht="25" customHeight="1" x14ac:dyDescent="0.3">
      <c r="A27" s="163" t="s">
        <v>73</v>
      </c>
      <c r="B27" s="3"/>
      <c r="C27" s="164"/>
      <c r="D27" s="164"/>
      <c r="E27" s="164"/>
      <c r="F27" s="164"/>
      <c r="G27" s="38"/>
    </row>
    <row r="28" spans="1:7" s="9" customFormat="1" ht="13" customHeight="1" x14ac:dyDescent="0.3">
      <c r="A28" s="2" t="s">
        <v>35</v>
      </c>
      <c r="B28" s="134">
        <f>C184/$B$186*100-C184/$B$186*100*3%</f>
        <v>212.02782946001358</v>
      </c>
      <c r="C28" s="164"/>
      <c r="G28" s="38"/>
    </row>
    <row r="29" spans="1:7" s="9" customFormat="1" ht="13" customHeight="1" x14ac:dyDescent="0.3">
      <c r="A29" s="2" t="s">
        <v>36</v>
      </c>
      <c r="B29" s="135">
        <f>D$184/$B$186*100-D$184/$B$186*100*B$187</f>
        <v>41.805205304094216</v>
      </c>
      <c r="C29" s="164"/>
      <c r="G29" s="38"/>
    </row>
    <row r="30" spans="1:7" s="9" customFormat="1" ht="13" customHeight="1" x14ac:dyDescent="0.3">
      <c r="A30" s="2" t="s">
        <v>37</v>
      </c>
      <c r="B30" s="135">
        <f>E$184/$B$186*100-E$184/$B$186*100*B$187</f>
        <v>5.8754390120034365</v>
      </c>
      <c r="C30" s="164"/>
      <c r="G30" s="38"/>
    </row>
    <row r="31" spans="1:7" s="9" customFormat="1" ht="13" customHeight="1" x14ac:dyDescent="0.3">
      <c r="A31" s="2" t="s">
        <v>38</v>
      </c>
      <c r="B31" s="135">
        <f>F$184/$B$186*100-F$184/$B$186*100*B$187</f>
        <v>6.0074605217040222</v>
      </c>
      <c r="C31" s="164"/>
      <c r="D31" s="165"/>
      <c r="E31" s="165"/>
      <c r="F31" s="165"/>
      <c r="G31" s="38"/>
    </row>
    <row r="32" spans="1:7" s="9" customFormat="1" ht="13" customHeight="1" x14ac:dyDescent="0.3">
      <c r="A32" s="2" t="s">
        <v>39</v>
      </c>
      <c r="B32" s="135">
        <f>G$184/$B$186*100-G$184/$B$186*100*B$187</f>
        <v>0.73366697848208673</v>
      </c>
      <c r="C32" s="164"/>
      <c r="D32" s="165"/>
      <c r="E32" s="165"/>
      <c r="F32" s="165"/>
      <c r="G32" s="38"/>
    </row>
    <row r="33" spans="1:7" s="9" customFormat="1" ht="13" customHeight="1" x14ac:dyDescent="0.3">
      <c r="A33" s="2" t="s">
        <v>27</v>
      </c>
      <c r="B33" s="135">
        <f>B120/B186*100-B120/B186*100*3%</f>
        <v>0.93025375205084215</v>
      </c>
      <c r="C33" s="166"/>
      <c r="D33" s="165"/>
      <c r="E33" s="165"/>
      <c r="F33" s="165"/>
      <c r="G33" s="38"/>
    </row>
    <row r="34" spans="1:7" s="9" customFormat="1" ht="25" customHeight="1" x14ac:dyDescent="0.3">
      <c r="A34" s="163" t="s">
        <v>76</v>
      </c>
      <c r="B34" s="85"/>
      <c r="C34" s="166"/>
      <c r="G34" s="38"/>
    </row>
    <row r="35" spans="1:7" s="9" customFormat="1" ht="13" customHeight="1" x14ac:dyDescent="0.3">
      <c r="A35" s="2" t="s">
        <v>75</v>
      </c>
      <c r="B35" s="85"/>
      <c r="C35" s="166"/>
      <c r="G35" s="38"/>
    </row>
    <row r="36" spans="1:7" s="9" customFormat="1" ht="13" customHeight="1" x14ac:dyDescent="0.3">
      <c r="A36" s="2" t="s">
        <v>84</v>
      </c>
      <c r="B36" s="85"/>
      <c r="C36" s="166"/>
      <c r="G36" s="38"/>
    </row>
    <row r="37" spans="1:7" s="9" customFormat="1" ht="12.5" customHeight="1" x14ac:dyDescent="0.25">
      <c r="A37" s="127"/>
      <c r="B37" s="127"/>
      <c r="C37" s="127"/>
      <c r="D37" s="127"/>
      <c r="E37" s="127"/>
      <c r="F37" s="127"/>
    </row>
    <row r="38" spans="1:7" s="15" customFormat="1" ht="12" customHeight="1" x14ac:dyDescent="0.35">
      <c r="A38" s="15" t="s">
        <v>129</v>
      </c>
      <c r="B38" s="16" t="s">
        <v>16</v>
      </c>
      <c r="C38" s="17" t="s">
        <v>17</v>
      </c>
      <c r="D38" s="18" t="s">
        <v>18</v>
      </c>
      <c r="E38" s="19" t="s">
        <v>19</v>
      </c>
      <c r="F38" s="19" t="s">
        <v>20</v>
      </c>
    </row>
    <row r="39" spans="1:7" s="26" customFormat="1" ht="12" customHeight="1" x14ac:dyDescent="0.25">
      <c r="A39" s="158" t="s">
        <v>65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">
        <v>81</v>
      </c>
      <c r="B40" s="104">
        <f>SUM(B41:B44)</f>
        <v>20</v>
      </c>
      <c r="C40" s="22"/>
      <c r="D40" s="105">
        <f>SUM(D41:D44)</f>
        <v>0.04</v>
      </c>
      <c r="E40" s="24"/>
      <c r="F40" s="25"/>
    </row>
    <row r="41" spans="1:7" s="26" customFormat="1" ht="12" customHeight="1" x14ac:dyDescent="0.25">
      <c r="A41" s="102" t="s">
        <v>92</v>
      </c>
      <c r="B41" s="97"/>
      <c r="C41" s="98"/>
      <c r="D41" s="99"/>
      <c r="E41" s="100">
        <v>3.472222222222222E-3</v>
      </c>
      <c r="F41" s="101">
        <f>F45-E41</f>
        <v>46176.774305555555</v>
      </c>
    </row>
    <row r="42" spans="1:7" s="26" customFormat="1" ht="12" customHeight="1" x14ac:dyDescent="0.25">
      <c r="A42" s="96" t="s">
        <v>21</v>
      </c>
      <c r="B42" s="156">
        <f>D42*$F$6</f>
        <v>8</v>
      </c>
      <c r="C42" s="129">
        <v>35</v>
      </c>
      <c r="D42" s="99">
        <f>D43</f>
        <v>1.6E-2</v>
      </c>
      <c r="E42" s="140"/>
      <c r="F42" s="107"/>
    </row>
    <row r="43" spans="1:7" s="26" customFormat="1" ht="12" customHeight="1" x14ac:dyDescent="0.25">
      <c r="A43" s="96" t="s">
        <v>120</v>
      </c>
      <c r="B43" s="156">
        <f>D43*$F$6</f>
        <v>8</v>
      </c>
      <c r="C43" s="98"/>
      <c r="D43" s="99">
        <f>D44*2</f>
        <v>1.6E-2</v>
      </c>
      <c r="E43" s="140"/>
      <c r="F43" s="107"/>
    </row>
    <row r="44" spans="1:7" s="26" customFormat="1" ht="12" customHeight="1" x14ac:dyDescent="0.25">
      <c r="A44" s="96" t="s">
        <v>116</v>
      </c>
      <c r="B44" s="157">
        <f>D44*$F$6</f>
        <v>4</v>
      </c>
      <c r="C44" s="141">
        <v>5</v>
      </c>
      <c r="D44" s="207">
        <f>B18/50</f>
        <v>8.0000000000000002E-3</v>
      </c>
      <c r="E44" s="140"/>
      <c r="F44" s="107"/>
    </row>
    <row r="45" spans="1:7" s="26" customFormat="1" ht="12" customHeight="1" x14ac:dyDescent="0.25">
      <c r="A45" s="142" t="s">
        <v>82</v>
      </c>
      <c r="B45" s="143"/>
      <c r="C45" s="141">
        <v>21</v>
      </c>
      <c r="D45" s="144"/>
      <c r="E45" s="145">
        <v>0.20833333333333334</v>
      </c>
      <c r="F45" s="146">
        <f>$F$48-E45</f>
        <v>46176.777777777774</v>
      </c>
    </row>
    <row r="46" spans="1:7" s="205" customFormat="1" ht="12" customHeight="1" x14ac:dyDescent="0.25">
      <c r="A46" s="196" t="s">
        <v>131</v>
      </c>
      <c r="B46" s="202"/>
      <c r="C46" s="208">
        <v>28</v>
      </c>
      <c r="D46" s="203"/>
      <c r="E46" s="204">
        <v>0.125</v>
      </c>
      <c r="F46" s="206">
        <f>$F$48-E46</f>
        <v>46176.861111111109</v>
      </c>
    </row>
    <row r="47" spans="1:7" ht="12" customHeight="1" x14ac:dyDescent="0.25">
      <c r="A47" s="90" t="s">
        <v>88</v>
      </c>
      <c r="B47" s="147">
        <f>SUM(B49:B53)</f>
        <v>399.76</v>
      </c>
      <c r="C47" s="148"/>
      <c r="D47" s="149">
        <f>SUM(D49:D52)</f>
        <v>0.79952000000000001</v>
      </c>
      <c r="E47" s="90"/>
      <c r="F47" s="90"/>
    </row>
    <row r="48" spans="1:7" s="132" customFormat="1" ht="12" customHeight="1" x14ac:dyDescent="0.25">
      <c r="A48" s="70" t="s">
        <v>92</v>
      </c>
      <c r="B48" s="70"/>
      <c r="C48" s="141"/>
      <c r="D48" s="150"/>
      <c r="E48" s="46">
        <v>3.472222222222222E-3</v>
      </c>
      <c r="F48" s="151">
        <f>F53-E48</f>
        <v>46176.986111111109</v>
      </c>
    </row>
    <row r="49" spans="1:6" ht="12" customHeight="1" x14ac:dyDescent="0.25">
      <c r="A49" s="11" t="s">
        <v>21</v>
      </c>
      <c r="B49" s="106">
        <f>D49*$F$6</f>
        <v>188</v>
      </c>
      <c r="C49" s="141">
        <v>45</v>
      </c>
      <c r="D49" s="48">
        <f>D51</f>
        <v>0.376</v>
      </c>
      <c r="E49" s="152"/>
      <c r="F49" s="153"/>
    </row>
    <row r="50" spans="1:6" ht="12" customHeight="1" x14ac:dyDescent="0.25">
      <c r="A50" s="11" t="s">
        <v>27</v>
      </c>
      <c r="B50" s="106">
        <f>D50*$F$6</f>
        <v>3.76</v>
      </c>
      <c r="C50" s="141"/>
      <c r="D50" s="56">
        <f>D51*2%</f>
        <v>7.5199999999999998E-3</v>
      </c>
      <c r="E50" s="152"/>
      <c r="F50" s="153"/>
    </row>
    <row r="51" spans="1:6" ht="12" customHeight="1" x14ac:dyDescent="0.25">
      <c r="A51" s="11" t="s">
        <v>120</v>
      </c>
      <c r="B51" s="106">
        <f>D51*$F$6</f>
        <v>188</v>
      </c>
      <c r="C51" s="141"/>
      <c r="D51" s="48">
        <f>D52*9.4</f>
        <v>0.376</v>
      </c>
      <c r="E51" s="152"/>
      <c r="F51" s="153"/>
    </row>
    <row r="52" spans="1:6" ht="12" customHeight="1" x14ac:dyDescent="0.25">
      <c r="A52" s="53" t="str">
        <f>A40</f>
        <v>1.a Sauerteig Stufe I</v>
      </c>
      <c r="B52" s="106">
        <f>B40</f>
        <v>20</v>
      </c>
      <c r="C52" s="141"/>
      <c r="D52" s="48">
        <f>D40</f>
        <v>0.04</v>
      </c>
      <c r="E52" s="152"/>
      <c r="F52" s="153"/>
    </row>
    <row r="53" spans="1:6" ht="12" customHeight="1" x14ac:dyDescent="0.25">
      <c r="A53" s="11" t="s">
        <v>82</v>
      </c>
      <c r="B53" s="11"/>
      <c r="C53" s="141">
        <v>21</v>
      </c>
      <c r="D53" s="150"/>
      <c r="E53" s="152">
        <v>0.45833333333333331</v>
      </c>
      <c r="F53" s="154">
        <f>F102-E53</f>
        <v>46176.989583333328</v>
      </c>
    </row>
    <row r="54" spans="1:6" ht="12" customHeight="1" x14ac:dyDescent="0.25">
      <c r="A54" s="11"/>
      <c r="B54" s="11"/>
      <c r="C54" s="141"/>
      <c r="D54" s="150"/>
      <c r="E54" s="152"/>
      <c r="F54" s="154"/>
    </row>
    <row r="55" spans="1:6" s="26" customFormat="1" ht="12" customHeight="1" x14ac:dyDescent="0.25">
      <c r="A55" s="20" t="str">
        <f>IF($B$19=0,"1.c entfällt","1.c Poolish")</f>
        <v>1.c entfällt</v>
      </c>
      <c r="B55" s="104">
        <f>SUM(B57:B59)</f>
        <v>0</v>
      </c>
      <c r="C55" s="22"/>
      <c r="D55" s="105">
        <f>SUM(D56:D60)</f>
        <v>0</v>
      </c>
      <c r="E55" s="24"/>
      <c r="F55" s="25"/>
    </row>
    <row r="56" spans="1:6" s="26" customFormat="1" ht="12" customHeight="1" x14ac:dyDescent="0.25">
      <c r="A56" s="102" t="s">
        <v>99</v>
      </c>
      <c r="B56" s="97"/>
      <c r="C56" s="98"/>
      <c r="D56" s="99"/>
      <c r="E56" s="100">
        <v>3.472222222222222E-3</v>
      </c>
      <c r="F56" s="101">
        <f>F61-E56</f>
        <v>46176.777777777781</v>
      </c>
    </row>
    <row r="57" spans="1:6" s="26" customFormat="1" ht="12" customHeight="1" x14ac:dyDescent="0.25">
      <c r="A57" s="96" t="s">
        <v>21</v>
      </c>
      <c r="B57" s="156">
        <f>D57*$F$6</f>
        <v>0</v>
      </c>
      <c r="C57" s="129">
        <v>16</v>
      </c>
      <c r="D57" s="99">
        <f>D58*1.1</f>
        <v>0</v>
      </c>
      <c r="E57" s="140"/>
      <c r="F57" s="107"/>
    </row>
    <row r="58" spans="1:6" s="26" customFormat="1" ht="12" customHeight="1" x14ac:dyDescent="0.25">
      <c r="A58" s="96" t="s">
        <v>9</v>
      </c>
      <c r="B58" s="156">
        <f>D58*$F$6</f>
        <v>0</v>
      </c>
      <c r="C58" s="98"/>
      <c r="D58" s="99">
        <f>B19</f>
        <v>0</v>
      </c>
      <c r="E58" s="140"/>
      <c r="F58" s="107"/>
    </row>
    <row r="59" spans="1:6" s="26" customFormat="1" ht="12" customHeight="1" x14ac:dyDescent="0.25">
      <c r="A59" s="194" t="s">
        <v>96</v>
      </c>
      <c r="B59" s="157">
        <f>D59*$F$6</f>
        <v>0</v>
      </c>
      <c r="C59" s="98"/>
      <c r="D59" s="195">
        <f>D58*0.01</f>
        <v>0</v>
      </c>
      <c r="E59" s="140"/>
      <c r="F59" s="107"/>
    </row>
    <row r="60" spans="1:6" s="26" customFormat="1" ht="12" customHeight="1" thickBot="1" x14ac:dyDescent="0.3">
      <c r="A60" s="185" t="s">
        <v>110</v>
      </c>
      <c r="B60" s="186"/>
      <c r="C60" s="187"/>
      <c r="D60" s="188"/>
      <c r="E60" s="189"/>
      <c r="F60" s="101"/>
    </row>
    <row r="61" spans="1:6" s="26" customFormat="1" ht="12" customHeight="1" thickBot="1" x14ac:dyDescent="0.3">
      <c r="A61" s="61" t="s">
        <v>97</v>
      </c>
      <c r="B61" s="190"/>
      <c r="C61" s="191">
        <v>21</v>
      </c>
      <c r="D61" s="192" t="s">
        <v>31</v>
      </c>
      <c r="E61" s="193">
        <v>0.66666666666666663</v>
      </c>
      <c r="F61" s="107">
        <f>F102-E61</f>
        <v>46176.78125</v>
      </c>
    </row>
    <row r="63" spans="1:6" s="9" customFormat="1" ht="12" customHeight="1" x14ac:dyDescent="0.25">
      <c r="A63" s="20" t="str">
        <f>IF($B$17=0,"1.d entfällt","1.d Brühstück: Dinkelvollkornmehl")</f>
        <v>1.d entfällt</v>
      </c>
      <c r="B63" s="27">
        <f>SUM(B65:B66)</f>
        <v>0</v>
      </c>
      <c r="C63" s="28"/>
      <c r="D63" s="29">
        <f>SUM(D65:D68)</f>
        <v>0</v>
      </c>
      <c r="E63" s="30"/>
      <c r="F63" s="221" t="s">
        <v>104</v>
      </c>
    </row>
    <row r="64" spans="1:6" s="10" customFormat="1" ht="12" customHeight="1" x14ac:dyDescent="0.25">
      <c r="A64" s="66" t="s">
        <v>60</v>
      </c>
      <c r="B64" s="67"/>
      <c r="C64" s="68"/>
      <c r="D64" s="69"/>
      <c r="F64" s="222"/>
    </row>
    <row r="65" spans="1:6" s="9" customFormat="1" ht="12" customHeight="1" x14ac:dyDescent="0.25">
      <c r="A65" s="32" t="s">
        <v>21</v>
      </c>
      <c r="B65" s="33">
        <f>D65*F$6</f>
        <v>0</v>
      </c>
      <c r="C65" s="34">
        <v>100</v>
      </c>
      <c r="D65" s="35">
        <f>D66*2.4</f>
        <v>0</v>
      </c>
      <c r="E65" s="36"/>
      <c r="F65" s="222"/>
    </row>
    <row r="66" spans="1:6" s="9" customFormat="1" ht="12" customHeight="1" x14ac:dyDescent="0.25">
      <c r="A66" s="83" t="s">
        <v>11</v>
      </c>
      <c r="B66" s="13">
        <f>D66*F$6</f>
        <v>0</v>
      </c>
      <c r="C66" s="82"/>
      <c r="D66" s="14">
        <f>B17</f>
        <v>0</v>
      </c>
      <c r="E66" s="39"/>
      <c r="F66" s="222"/>
    </row>
    <row r="67" spans="1:6" s="9" customFormat="1" ht="12" customHeight="1" x14ac:dyDescent="0.25">
      <c r="A67" s="84" t="s">
        <v>61</v>
      </c>
      <c r="B67" s="13"/>
      <c r="C67" s="82"/>
      <c r="D67" s="14"/>
      <c r="E67" s="46"/>
      <c r="F67" s="222"/>
    </row>
    <row r="68" spans="1:6" s="9" customFormat="1" ht="12" customHeight="1" x14ac:dyDescent="0.25">
      <c r="A68" s="32" t="s">
        <v>89</v>
      </c>
      <c r="B68" s="33"/>
      <c r="C68" s="34">
        <v>21</v>
      </c>
      <c r="D68" s="35"/>
      <c r="E68" s="36">
        <v>0.16666666666666666</v>
      </c>
      <c r="F68" s="222"/>
    </row>
    <row r="69" spans="1:6" s="9" customFormat="1" ht="12" customHeight="1" x14ac:dyDescent="0.25">
      <c r="A69" s="77"/>
      <c r="B69" s="117"/>
      <c r="C69" s="118"/>
      <c r="D69" s="119"/>
      <c r="E69" s="120"/>
      <c r="F69" s="222"/>
    </row>
    <row r="70" spans="1:6" s="9" customFormat="1" ht="12" customHeight="1" x14ac:dyDescent="0.25">
      <c r="A70" s="20" t="str">
        <f>IF($F$9=0,"1.e entfällt","1.e Brühstück: Röstbrot")</f>
        <v>1.e entfällt</v>
      </c>
      <c r="B70" s="27">
        <f>SUM(B72:B75)</f>
        <v>0</v>
      </c>
      <c r="C70" s="28"/>
      <c r="D70" s="29">
        <f>SUM(D72:D75)</f>
        <v>0</v>
      </c>
      <c r="E70" s="75"/>
      <c r="F70" s="222"/>
    </row>
    <row r="71" spans="1:6" s="9" customFormat="1" ht="12" customHeight="1" x14ac:dyDescent="0.25">
      <c r="A71" s="66" t="s">
        <v>60</v>
      </c>
      <c r="B71" s="67"/>
      <c r="C71" s="68"/>
      <c r="D71" s="69"/>
      <c r="E71" s="46"/>
      <c r="F71" s="222"/>
    </row>
    <row r="72" spans="1:6" s="9" customFormat="1" ht="12" customHeight="1" x14ac:dyDescent="0.25">
      <c r="A72" s="32" t="s">
        <v>21</v>
      </c>
      <c r="B72" s="33">
        <f>D72*F$6</f>
        <v>0</v>
      </c>
      <c r="C72" s="34">
        <v>100</v>
      </c>
      <c r="D72" s="35">
        <f>D73*3.3</f>
        <v>0</v>
      </c>
      <c r="E72" s="36"/>
      <c r="F72" s="222"/>
    </row>
    <row r="73" spans="1:6" s="9" customFormat="1" ht="12" customHeight="1" x14ac:dyDescent="0.25">
      <c r="A73" s="32" t="s">
        <v>72</v>
      </c>
      <c r="B73" s="33">
        <f>D73*F$6</f>
        <v>0</v>
      </c>
      <c r="C73" s="34"/>
      <c r="D73" s="35">
        <f>F9</f>
        <v>0</v>
      </c>
      <c r="E73" s="36"/>
      <c r="F73" s="222"/>
    </row>
    <row r="74" spans="1:6" s="9" customFormat="1" ht="12" customHeight="1" x14ac:dyDescent="0.25">
      <c r="A74" s="66" t="s">
        <v>111</v>
      </c>
      <c r="B74" s="67"/>
      <c r="C74" s="68"/>
      <c r="D74" s="69"/>
      <c r="E74" s="36">
        <v>4.1666666666666664E-2</v>
      </c>
      <c r="F74" s="222"/>
    </row>
    <row r="75" spans="1:6" s="9" customFormat="1" ht="12" customHeight="1" x14ac:dyDescent="0.25">
      <c r="A75" s="32" t="s">
        <v>89</v>
      </c>
      <c r="B75" s="33"/>
      <c r="C75" s="34">
        <v>21</v>
      </c>
      <c r="D75" s="35"/>
      <c r="E75" s="36">
        <v>0.16666666666666666</v>
      </c>
      <c r="F75" s="222"/>
    </row>
    <row r="76" spans="1:6" s="9" customFormat="1" ht="12" customHeight="1" x14ac:dyDescent="0.25">
      <c r="A76" s="77"/>
      <c r="B76" s="117"/>
      <c r="C76" s="118"/>
      <c r="D76" s="119"/>
      <c r="E76" s="120"/>
      <c r="F76" s="222"/>
    </row>
    <row r="77" spans="1:6" s="9" customFormat="1" ht="12" customHeight="1" x14ac:dyDescent="0.25">
      <c r="A77" s="20" t="str">
        <f>IF($F$10=0,"1.f entfällt","1.f Brühstück: Haferflocken")</f>
        <v>1.f entfällt</v>
      </c>
      <c r="B77" s="27">
        <f>SUM(B79:B80)</f>
        <v>0</v>
      </c>
      <c r="C77" s="28">
        <v>21</v>
      </c>
      <c r="D77" s="29">
        <f>SUM(D79:D80)</f>
        <v>0</v>
      </c>
      <c r="E77" s="30"/>
      <c r="F77" s="222"/>
    </row>
    <row r="78" spans="1:6" s="10" customFormat="1" ht="12" customHeight="1" x14ac:dyDescent="0.25">
      <c r="A78" s="66" t="s">
        <v>60</v>
      </c>
      <c r="B78" s="67"/>
      <c r="C78" s="68"/>
      <c r="D78" s="69"/>
      <c r="F78" s="222"/>
    </row>
    <row r="79" spans="1:6" s="9" customFormat="1" ht="12" customHeight="1" x14ac:dyDescent="0.25">
      <c r="A79" s="32" t="s">
        <v>21</v>
      </c>
      <c r="B79" s="33">
        <f>D79*F$6</f>
        <v>0</v>
      </c>
      <c r="C79" s="34">
        <v>100</v>
      </c>
      <c r="D79" s="35">
        <f>D80*1.5</f>
        <v>0</v>
      </c>
      <c r="E79" s="36"/>
      <c r="F79" s="222"/>
    </row>
    <row r="80" spans="1:6" s="9" customFormat="1" ht="12" customHeight="1" x14ac:dyDescent="0.25">
      <c r="A80" s="32" t="s">
        <v>87</v>
      </c>
      <c r="B80" s="33">
        <f>D80*F$6</f>
        <v>0</v>
      </c>
      <c r="C80" s="34"/>
      <c r="D80" s="35">
        <f>F10</f>
        <v>0</v>
      </c>
      <c r="E80" s="39"/>
      <c r="F80" s="222"/>
    </row>
    <row r="81" spans="1:6" s="9" customFormat="1" ht="12" customHeight="1" x14ac:dyDescent="0.25">
      <c r="A81" s="66" t="s">
        <v>93</v>
      </c>
      <c r="B81" s="33"/>
      <c r="C81" s="34"/>
      <c r="D81" s="35"/>
      <c r="E81" s="46"/>
      <c r="F81" s="222"/>
    </row>
    <row r="82" spans="1:6" s="9" customFormat="1" ht="12" customHeight="1" x14ac:dyDescent="0.25">
      <c r="A82" s="32" t="s">
        <v>89</v>
      </c>
      <c r="B82" s="33"/>
      <c r="C82" s="34">
        <v>21</v>
      </c>
      <c r="D82" s="35"/>
      <c r="E82" s="36">
        <v>0.16666666666666666</v>
      </c>
      <c r="F82" s="222"/>
    </row>
    <row r="83" spans="1:6" ht="12" customHeight="1" x14ac:dyDescent="0.25">
      <c r="F83" s="222"/>
    </row>
    <row r="84" spans="1:6" s="9" customFormat="1" ht="12" customHeight="1" x14ac:dyDescent="0.25">
      <c r="A84" s="90" t="str">
        <f>IF(F11=0,"1.g entfällt","1.g Kochstück: Getreidekörner")</f>
        <v>1.g entfällt</v>
      </c>
      <c r="B84" s="27">
        <f>B87+B86*0.5</f>
        <v>0</v>
      </c>
      <c r="C84" s="108"/>
      <c r="D84" s="27">
        <f>D87+D86</f>
        <v>0</v>
      </c>
      <c r="E84" s="109"/>
      <c r="F84" s="222"/>
    </row>
    <row r="85" spans="1:6" s="10" customFormat="1" ht="12" customHeight="1" x14ac:dyDescent="0.25">
      <c r="A85" s="70" t="s">
        <v>60</v>
      </c>
      <c r="B85" s="33"/>
      <c r="C85" s="41"/>
      <c r="D85" s="35"/>
      <c r="E85" s="46"/>
      <c r="F85" s="222"/>
    </row>
    <row r="86" spans="1:6" s="9" customFormat="1" ht="12" customHeight="1" x14ac:dyDescent="0.25">
      <c r="A86" s="11" t="s">
        <v>21</v>
      </c>
      <c r="B86" s="33">
        <f>$F$6*D86</f>
        <v>0</v>
      </c>
      <c r="C86" s="41">
        <v>100</v>
      </c>
      <c r="D86" s="35">
        <f>D87*3</f>
        <v>0</v>
      </c>
      <c r="E86" s="36"/>
      <c r="F86" s="222"/>
    </row>
    <row r="87" spans="1:6" s="9" customFormat="1" ht="12" customHeight="1" x14ac:dyDescent="0.25">
      <c r="A87" s="11" t="s">
        <v>102</v>
      </c>
      <c r="B87" s="33">
        <f>$F$6*D87</f>
        <v>0</v>
      </c>
      <c r="C87" s="41"/>
      <c r="D87" s="35">
        <f>F11</f>
        <v>0</v>
      </c>
      <c r="E87" s="36"/>
      <c r="F87" s="222"/>
    </row>
    <row r="88" spans="1:6" s="9" customFormat="1" ht="12" customHeight="1" x14ac:dyDescent="0.25">
      <c r="A88" s="70" t="s">
        <v>94</v>
      </c>
      <c r="B88" s="33"/>
      <c r="C88" s="41"/>
      <c r="D88" s="35"/>
      <c r="E88" s="36">
        <v>4.1666666666666664E-2</v>
      </c>
      <c r="F88" s="222"/>
    </row>
    <row r="89" spans="1:6" s="9" customFormat="1" ht="12" customHeight="1" x14ac:dyDescent="0.25">
      <c r="A89" s="32" t="s">
        <v>89</v>
      </c>
      <c r="B89" s="33"/>
      <c r="C89" s="41">
        <v>21</v>
      </c>
      <c r="D89" s="35"/>
      <c r="E89" s="36">
        <v>0.16666666666666666</v>
      </c>
      <c r="F89" s="222"/>
    </row>
    <row r="90" spans="1:6" s="9" customFormat="1" ht="12" customHeight="1" x14ac:dyDescent="0.25">
      <c r="A90" s="95"/>
      <c r="B90" s="91"/>
      <c r="C90" s="113"/>
      <c r="D90" s="93"/>
      <c r="E90" s="94"/>
      <c r="F90" s="222"/>
    </row>
    <row r="91" spans="1:6" s="10" customFormat="1" ht="12" customHeight="1" x14ac:dyDescent="0.25">
      <c r="A91" s="90" t="str">
        <f>IF($F$12=0,"1.h entfällt","1.h Quellstück: Saaten/Nüsse")</f>
        <v>1.h entfällt</v>
      </c>
      <c r="B91" s="27"/>
      <c r="C91" s="108">
        <v>21</v>
      </c>
      <c r="D91" s="29">
        <f>SUM(D94:D94)</f>
        <v>0</v>
      </c>
      <c r="E91" s="109"/>
      <c r="F91" s="222"/>
    </row>
    <row r="92" spans="1:6" s="12" customFormat="1" ht="12" customHeight="1" x14ac:dyDescent="0.25">
      <c r="A92" s="66" t="s">
        <v>22</v>
      </c>
      <c r="C92" s="128">
        <f>SUM(B94:B94)</f>
        <v>0</v>
      </c>
      <c r="D92" s="69"/>
      <c r="E92" s="46"/>
      <c r="F92" s="222"/>
    </row>
    <row r="93" spans="1:6" s="10" customFormat="1" ht="12" customHeight="1" x14ac:dyDescent="0.25">
      <c r="A93" s="32" t="s">
        <v>105</v>
      </c>
      <c r="B93" s="33">
        <f>D93*F$6</f>
        <v>0</v>
      </c>
      <c r="C93" s="34"/>
      <c r="D93" s="35">
        <f>$F$12</f>
        <v>0</v>
      </c>
      <c r="E93" s="39"/>
      <c r="F93" s="222"/>
    </row>
    <row r="94" spans="1:6" s="9" customFormat="1" ht="12" customHeight="1" x14ac:dyDescent="0.25">
      <c r="A94" s="53" t="s">
        <v>112</v>
      </c>
      <c r="B94" s="33"/>
      <c r="C94" s="34"/>
      <c r="D94" s="35"/>
      <c r="E94" s="36"/>
      <c r="F94" s="222"/>
    </row>
    <row r="95" spans="1:6" s="10" customFormat="1" ht="12" customHeight="1" x14ac:dyDescent="0.25">
      <c r="A95" s="32" t="s">
        <v>107</v>
      </c>
      <c r="B95" s="33"/>
      <c r="C95" s="34"/>
      <c r="D95" s="35"/>
      <c r="E95" s="39"/>
      <c r="F95" s="222"/>
    </row>
    <row r="96" spans="1:6" s="10" customFormat="1" ht="12" customHeight="1" x14ac:dyDescent="0.25">
      <c r="A96" s="32" t="s">
        <v>106</v>
      </c>
      <c r="B96" s="33"/>
      <c r="C96" s="34"/>
      <c r="D96" s="35"/>
      <c r="E96" s="39"/>
      <c r="F96" s="222"/>
    </row>
    <row r="97" spans="1:8" s="10" customFormat="1" ht="12" customHeight="1" x14ac:dyDescent="0.25">
      <c r="A97" s="32" t="s">
        <v>108</v>
      </c>
      <c r="B97" s="33"/>
      <c r="C97" s="34"/>
      <c r="D97" s="35"/>
      <c r="E97" s="39"/>
      <c r="F97" s="222"/>
    </row>
    <row r="98" spans="1:8" s="10" customFormat="1" ht="12" customHeight="1" x14ac:dyDescent="0.25">
      <c r="A98" s="184" t="s">
        <v>109</v>
      </c>
      <c r="B98" s="33"/>
      <c r="C98" s="34"/>
      <c r="D98" s="35"/>
      <c r="E98" s="39"/>
      <c r="F98" s="222"/>
    </row>
    <row r="99" spans="1:8" s="10" customFormat="1" ht="12" customHeight="1" x14ac:dyDescent="0.25">
      <c r="A99" s="32" t="s">
        <v>89</v>
      </c>
      <c r="B99" s="33"/>
      <c r="C99" s="34">
        <v>21</v>
      </c>
      <c r="D99" s="35"/>
      <c r="E99" s="36">
        <v>0.33333333333333331</v>
      </c>
      <c r="F99" s="222"/>
    </row>
    <row r="100" spans="1:8" s="9" customFormat="1" ht="12.5" customHeight="1" x14ac:dyDescent="0.25">
      <c r="A100" s="38" t="s">
        <v>129</v>
      </c>
      <c r="B100" s="16" t="s">
        <v>16</v>
      </c>
      <c r="C100" s="17" t="s">
        <v>17</v>
      </c>
      <c r="D100" s="18" t="s">
        <v>18</v>
      </c>
      <c r="E100" s="19" t="s">
        <v>19</v>
      </c>
      <c r="F100" s="19" t="s">
        <v>20</v>
      </c>
    </row>
    <row r="101" spans="1:8" s="26" customFormat="1" ht="12.5" customHeight="1" x14ac:dyDescent="0.25">
      <c r="A101" s="158" t="s">
        <v>23</v>
      </c>
      <c r="B101" s="88">
        <f>SUM(B103:B126)</f>
        <v>871.75</v>
      </c>
      <c r="C101" s="89"/>
      <c r="D101" s="29">
        <f>SUM(D102:D127)</f>
        <v>1.7965</v>
      </c>
      <c r="E101" s="30"/>
      <c r="F101" s="31"/>
    </row>
    <row r="102" spans="1:8" s="10" customFormat="1" ht="12.5" customHeight="1" x14ac:dyDescent="0.25">
      <c r="A102" s="66" t="s">
        <v>60</v>
      </c>
      <c r="B102" s="67"/>
      <c r="C102" s="68"/>
      <c r="D102" s="69"/>
      <c r="E102" s="46">
        <v>6.9444444444444441E-3</v>
      </c>
      <c r="F102" s="47">
        <f>F119-E102</f>
        <v>46177.447916666664</v>
      </c>
    </row>
    <row r="103" spans="1:8" s="9" customFormat="1" ht="12.5" customHeight="1" x14ac:dyDescent="0.25">
      <c r="A103" s="40" t="s">
        <v>21</v>
      </c>
      <c r="B103" s="33">
        <f>ROUNDDOWN((D103*F$6),-1)</f>
        <v>160</v>
      </c>
      <c r="C103" s="34">
        <v>16</v>
      </c>
      <c r="D103" s="35">
        <f>B9*0.6+(B10+B19)*0.65+(B11+B12+B15+B17+B18)*0.7+B13*0.75+B14*0.8+F13*10-D42-D49-D57-(D65+D72+D79)*0.6-(D86+D93)*0.2</f>
        <v>0.32299999999999995</v>
      </c>
      <c r="E103" s="36"/>
      <c r="F103" s="37"/>
    </row>
    <row r="104" spans="1:8" s="9" customFormat="1" ht="12.5" customHeight="1" x14ac:dyDescent="0.25">
      <c r="A104" s="32" t="str">
        <f>A47</f>
        <v>1.b Sauerteig Stufe II</v>
      </c>
      <c r="B104" s="33">
        <f>B47</f>
        <v>399.76</v>
      </c>
      <c r="C104" s="92">
        <v>28</v>
      </c>
      <c r="D104" s="35">
        <f>D47</f>
        <v>0.79952000000000001</v>
      </c>
      <c r="E104" s="36"/>
      <c r="F104" s="37"/>
    </row>
    <row r="105" spans="1:8" s="9" customFormat="1" ht="12.5" customHeight="1" x14ac:dyDescent="0.25">
      <c r="A105" s="40" t="str">
        <f>A55</f>
        <v>1.c entfällt</v>
      </c>
      <c r="B105" s="91">
        <f>B55</f>
        <v>0</v>
      </c>
      <c r="C105" s="92">
        <v>21</v>
      </c>
      <c r="D105" s="93">
        <f>D55</f>
        <v>0</v>
      </c>
      <c r="E105" s="94"/>
      <c r="F105" s="103"/>
    </row>
    <row r="106" spans="1:8" s="9" customFormat="1" ht="12.5" customHeight="1" x14ac:dyDescent="0.25">
      <c r="A106" s="40" t="str">
        <f>A63</f>
        <v>1.d entfällt</v>
      </c>
      <c r="B106" s="91">
        <f>D106*F$6</f>
        <v>0</v>
      </c>
      <c r="C106" s="92">
        <v>21</v>
      </c>
      <c r="D106" s="93">
        <f>D63</f>
        <v>0</v>
      </c>
      <c r="E106" s="94"/>
      <c r="F106" s="103"/>
      <c r="H106" s="42"/>
    </row>
    <row r="107" spans="1:8" s="9" customFormat="1" ht="12.5" customHeight="1" x14ac:dyDescent="0.25">
      <c r="A107" s="40" t="str">
        <f>A70</f>
        <v>1.e entfällt</v>
      </c>
      <c r="B107" s="33">
        <f>D107*F$6</f>
        <v>0</v>
      </c>
      <c r="C107" s="34">
        <v>21</v>
      </c>
      <c r="D107" s="35">
        <f>D70</f>
        <v>0</v>
      </c>
      <c r="E107" s="36"/>
      <c r="F107" s="37"/>
    </row>
    <row r="108" spans="1:8" s="9" customFormat="1" ht="12.5" customHeight="1" x14ac:dyDescent="0.25">
      <c r="A108" s="32" t="str">
        <f>A77</f>
        <v>1.f entfällt</v>
      </c>
      <c r="B108" s="33">
        <f t="shared" ref="B108:B117" si="0">D108*F$6</f>
        <v>0</v>
      </c>
      <c r="C108" s="34">
        <v>21</v>
      </c>
      <c r="D108" s="35">
        <f>D77</f>
        <v>0</v>
      </c>
      <c r="E108" s="36"/>
      <c r="F108" s="37"/>
    </row>
    <row r="109" spans="1:8" s="9" customFormat="1" ht="12.5" customHeight="1" x14ac:dyDescent="0.25">
      <c r="A109" s="32" t="s">
        <v>7</v>
      </c>
      <c r="B109" s="33">
        <f t="shared" si="0"/>
        <v>0</v>
      </c>
      <c r="C109" s="34"/>
      <c r="D109" s="35">
        <f t="shared" ref="D109:D114" si="1">B9</f>
        <v>0</v>
      </c>
      <c r="E109" s="36"/>
      <c r="F109" s="37"/>
    </row>
    <row r="110" spans="1:8" s="9" customFormat="1" ht="12.5" customHeight="1" x14ac:dyDescent="0.25">
      <c r="A110" s="32" t="s">
        <v>9</v>
      </c>
      <c r="B110" s="33">
        <f t="shared" si="0"/>
        <v>50</v>
      </c>
      <c r="C110" s="34"/>
      <c r="D110" s="35">
        <f t="shared" si="1"/>
        <v>0.1</v>
      </c>
      <c r="E110" s="36"/>
      <c r="F110" s="37"/>
    </row>
    <row r="111" spans="1:8" s="9" customFormat="1" ht="12.5" customHeight="1" x14ac:dyDescent="0.25">
      <c r="A111" s="32" t="s">
        <v>10</v>
      </c>
      <c r="B111" s="33">
        <f t="shared" si="0"/>
        <v>100</v>
      </c>
      <c r="C111" s="34"/>
      <c r="D111" s="35">
        <f t="shared" si="1"/>
        <v>0.2</v>
      </c>
      <c r="E111" s="36"/>
      <c r="F111" s="37"/>
    </row>
    <row r="112" spans="1:8" s="9" customFormat="1" ht="12.5" customHeight="1" x14ac:dyDescent="0.25">
      <c r="A112" s="32" t="s">
        <v>11</v>
      </c>
      <c r="B112" s="33">
        <f t="shared" si="0"/>
        <v>50</v>
      </c>
      <c r="C112" s="34"/>
      <c r="D112" s="35">
        <f t="shared" si="1"/>
        <v>0.1</v>
      </c>
      <c r="E112" s="36"/>
      <c r="F112" s="37"/>
    </row>
    <row r="113" spans="1:8" s="9" customFormat="1" ht="12.5" customHeight="1" x14ac:dyDescent="0.25">
      <c r="A113" s="32" t="s">
        <v>24</v>
      </c>
      <c r="B113" s="33">
        <f t="shared" si="0"/>
        <v>0</v>
      </c>
      <c r="C113" s="34"/>
      <c r="D113" s="35">
        <f t="shared" si="1"/>
        <v>0</v>
      </c>
      <c r="E113" s="36"/>
      <c r="F113" s="37"/>
    </row>
    <row r="114" spans="1:8" s="9" customFormat="1" ht="12.5" customHeight="1" x14ac:dyDescent="0.25">
      <c r="A114" s="32" t="s">
        <v>13</v>
      </c>
      <c r="B114" s="33">
        <f t="shared" si="0"/>
        <v>100</v>
      </c>
      <c r="C114" s="34"/>
      <c r="D114" s="35">
        <f t="shared" si="1"/>
        <v>0.2</v>
      </c>
      <c r="E114" s="36"/>
      <c r="F114" s="37"/>
    </row>
    <row r="115" spans="1:8" s="9" customFormat="1" ht="12.5" customHeight="1" x14ac:dyDescent="0.25">
      <c r="A115" s="32" t="s">
        <v>118</v>
      </c>
      <c r="B115" s="33">
        <f t="shared" si="0"/>
        <v>2.5</v>
      </c>
      <c r="C115" s="34"/>
      <c r="D115" s="63">
        <v>5.0000000000000001E-3</v>
      </c>
      <c r="E115" s="36"/>
      <c r="F115" s="37"/>
    </row>
    <row r="116" spans="1:8" s="9" customFormat="1" ht="12.5" customHeight="1" x14ac:dyDescent="0.25">
      <c r="A116" s="32" t="s">
        <v>63</v>
      </c>
      <c r="B116" s="33">
        <f t="shared" si="0"/>
        <v>0</v>
      </c>
      <c r="C116" s="34"/>
      <c r="D116" s="35">
        <f>F13</f>
        <v>0</v>
      </c>
      <c r="E116" s="36"/>
      <c r="F116" s="37"/>
    </row>
    <row r="117" spans="1:8" s="45" customFormat="1" ht="12.5" customHeight="1" x14ac:dyDescent="0.25">
      <c r="A117" s="53" t="s">
        <v>25</v>
      </c>
      <c r="B117" s="131">
        <f t="shared" si="0"/>
        <v>0.25</v>
      </c>
      <c r="C117" s="44"/>
      <c r="D117" s="155">
        <v>5.0000000000000001E-4</v>
      </c>
      <c r="E117" s="64"/>
      <c r="F117" s="65"/>
    </row>
    <row r="118" spans="1:8" s="45" customFormat="1" ht="12.5" hidden="1" customHeight="1" x14ac:dyDescent="0.25">
      <c r="A118" s="66" t="s">
        <v>124</v>
      </c>
      <c r="B118" s="81"/>
      <c r="C118" s="44"/>
      <c r="D118" s="63"/>
      <c r="E118" s="64"/>
      <c r="F118" s="65"/>
    </row>
    <row r="119" spans="1:8" s="9" customFormat="1" ht="12.5" hidden="1" customHeight="1" x14ac:dyDescent="0.25">
      <c r="A119" s="32" t="s">
        <v>26</v>
      </c>
      <c r="B119" s="33"/>
      <c r="C119" s="34">
        <v>21</v>
      </c>
      <c r="D119" s="35"/>
      <c r="E119" s="36">
        <v>0</v>
      </c>
      <c r="F119" s="37">
        <f>F122-E119</f>
        <v>46177.454861111109</v>
      </c>
    </row>
    <row r="120" spans="1:8" s="9" customFormat="1" ht="12.5" customHeight="1" x14ac:dyDescent="0.25">
      <c r="A120" s="32" t="s">
        <v>27</v>
      </c>
      <c r="B120" s="33">
        <f>D120*F$6</f>
        <v>7.240000000000002</v>
      </c>
      <c r="C120" s="34"/>
      <c r="D120" s="63">
        <f>(B20+F12+F10+F11+F13)*2.2%-D50</f>
        <v>1.4480000000000003E-2</v>
      </c>
      <c r="E120" s="36"/>
      <c r="F120" s="37"/>
    </row>
    <row r="121" spans="1:8" s="9" customFormat="1" ht="12.5" customHeight="1" x14ac:dyDescent="0.25">
      <c r="A121" s="32" t="s">
        <v>85</v>
      </c>
      <c r="B121" s="33">
        <f>D121*F$6</f>
        <v>2</v>
      </c>
      <c r="C121" s="34"/>
      <c r="D121" s="63">
        <v>4.0000000000000001E-3</v>
      </c>
      <c r="E121" s="36"/>
      <c r="F121" s="37"/>
    </row>
    <row r="122" spans="1:8" s="9" customFormat="1" ht="12.5" customHeight="1" x14ac:dyDescent="0.25">
      <c r="A122" s="66" t="s">
        <v>122</v>
      </c>
      <c r="B122" s="33"/>
      <c r="C122" s="34"/>
      <c r="D122" s="35"/>
      <c r="E122" s="46">
        <v>6.9444444444444441E-3</v>
      </c>
      <c r="F122" s="47">
        <f>F131-E122</f>
        <v>46177.454861111109</v>
      </c>
    </row>
    <row r="123" spans="1:8" s="9" customFormat="1" ht="12.5" hidden="1" customHeight="1" x14ac:dyDescent="0.25">
      <c r="A123" s="10" t="s">
        <v>114</v>
      </c>
      <c r="B123" s="33"/>
      <c r="C123" s="34"/>
      <c r="D123" s="35"/>
      <c r="E123" s="46"/>
      <c r="F123" s="47"/>
    </row>
    <row r="124" spans="1:8" s="9" customFormat="1" ht="12.5" customHeight="1" x14ac:dyDescent="0.25">
      <c r="A124" s="66" t="s">
        <v>113</v>
      </c>
      <c r="B124" s="33"/>
      <c r="C124" s="34"/>
      <c r="D124" s="35"/>
      <c r="E124" s="46"/>
      <c r="F124" s="47"/>
    </row>
    <row r="125" spans="1:8" s="9" customFormat="1" ht="12.5" customHeight="1" x14ac:dyDescent="0.25">
      <c r="A125" s="11" t="str">
        <f>A84</f>
        <v>1.g entfällt</v>
      </c>
      <c r="B125" s="33">
        <f t="shared" ref="B125:B126" si="2">D125*F$6</f>
        <v>0</v>
      </c>
      <c r="C125" s="92">
        <v>21</v>
      </c>
      <c r="D125" s="48">
        <f>D84/2</f>
        <v>0</v>
      </c>
      <c r="E125" s="11"/>
      <c r="F125" s="11"/>
      <c r="H125" s="42"/>
    </row>
    <row r="126" spans="1:8" s="9" customFormat="1" ht="12.5" customHeight="1" x14ac:dyDescent="0.25">
      <c r="A126" s="11" t="str">
        <f>A91</f>
        <v>1.h entfällt</v>
      </c>
      <c r="B126" s="33">
        <f t="shared" si="2"/>
        <v>0</v>
      </c>
      <c r="C126" s="92">
        <f>C91</f>
        <v>21</v>
      </c>
      <c r="D126" s="48">
        <f>D93+D93*0.75</f>
        <v>0</v>
      </c>
      <c r="E126" s="11"/>
      <c r="F126" s="11"/>
      <c r="H126" s="42"/>
    </row>
    <row r="127" spans="1:8" s="9" customFormat="1" ht="12.5" customHeight="1" x14ac:dyDescent="0.25">
      <c r="A127" s="53" t="s">
        <v>83</v>
      </c>
      <c r="B127" s="182">
        <f>D127*F$6</f>
        <v>25</v>
      </c>
      <c r="C127" s="183">
        <v>16</v>
      </c>
      <c r="D127" s="35">
        <v>0.05</v>
      </c>
      <c r="E127" s="36"/>
      <c r="F127" s="37"/>
    </row>
    <row r="128" spans="1:8" s="12" customFormat="1" ht="12.5" customHeight="1" x14ac:dyDescent="0.25">
      <c r="A128" s="32" t="s">
        <v>28</v>
      </c>
      <c r="B128" s="33"/>
      <c r="C128" s="34">
        <v>25</v>
      </c>
      <c r="D128" s="49"/>
      <c r="E128" s="36"/>
      <c r="F128" s="37"/>
    </row>
    <row r="129" spans="1:6" s="9" customFormat="1" ht="12.5" customHeight="1" x14ac:dyDescent="0.25">
      <c r="A129" s="32"/>
      <c r="B129" s="33"/>
      <c r="C129" s="41"/>
      <c r="D129" s="43"/>
      <c r="E129" s="36"/>
      <c r="F129" s="37"/>
    </row>
    <row r="130" spans="1:6" s="9" customFormat="1" ht="12.5" customHeight="1" x14ac:dyDescent="0.25">
      <c r="A130" s="158" t="s">
        <v>71</v>
      </c>
      <c r="B130" s="50"/>
      <c r="C130" s="51"/>
      <c r="D130" s="52"/>
      <c r="E130" s="75"/>
      <c r="F130" s="74"/>
    </row>
    <row r="131" spans="1:6" s="12" customFormat="1" ht="12.5" customHeight="1" x14ac:dyDescent="0.25">
      <c r="A131" s="32" t="s">
        <v>123</v>
      </c>
      <c r="B131" s="33"/>
      <c r="C131" s="121">
        <v>21</v>
      </c>
      <c r="D131" s="122"/>
      <c r="E131" s="123">
        <v>2.0833333333333332E-2</v>
      </c>
      <c r="F131" s="124">
        <f>F137-E131</f>
        <v>46177.461805555555</v>
      </c>
    </row>
    <row r="132" spans="1:6" s="45" customFormat="1" ht="12.5" hidden="1" customHeight="1" x14ac:dyDescent="0.25">
      <c r="A132" s="66" t="s">
        <v>125</v>
      </c>
      <c r="B132" s="76"/>
      <c r="C132" s="44"/>
      <c r="D132" s="63"/>
      <c r="E132" s="64"/>
      <c r="F132" s="65"/>
    </row>
    <row r="133" spans="1:6" s="45" customFormat="1" ht="12.5" hidden="1" customHeight="1" x14ac:dyDescent="0.25">
      <c r="A133" s="66" t="s">
        <v>100</v>
      </c>
      <c r="B133" s="76"/>
      <c r="C133" s="44"/>
      <c r="D133" s="63"/>
      <c r="E133" s="64"/>
      <c r="F133" s="65"/>
    </row>
    <row r="134" spans="1:6" s="45" customFormat="1" ht="12.5" hidden="1" customHeight="1" x14ac:dyDescent="0.25">
      <c r="A134" s="66" t="s">
        <v>115</v>
      </c>
      <c r="B134" s="76"/>
      <c r="C134" s="44"/>
      <c r="D134" s="63"/>
      <c r="E134" s="64"/>
      <c r="F134" s="65"/>
    </row>
    <row r="135" spans="1:6" s="9" customFormat="1" ht="12.5" customHeight="1" x14ac:dyDescent="0.25">
      <c r="A135" s="11"/>
      <c r="B135" s="55"/>
      <c r="C135" s="34"/>
      <c r="D135" s="56"/>
      <c r="E135" s="57"/>
      <c r="F135" s="37"/>
    </row>
    <row r="136" spans="1:6" s="9" customFormat="1" ht="12.5" customHeight="1" x14ac:dyDescent="0.25">
      <c r="A136" s="158" t="s">
        <v>29</v>
      </c>
      <c r="B136" s="58"/>
      <c r="C136" s="51"/>
      <c r="D136" s="52"/>
      <c r="E136" s="30"/>
      <c r="F136" s="31"/>
    </row>
    <row r="137" spans="1:6" s="10" customFormat="1" ht="12.5" customHeight="1" x14ac:dyDescent="0.25">
      <c r="A137" s="66" t="s">
        <v>30</v>
      </c>
      <c r="B137" s="70"/>
      <c r="C137" s="68"/>
      <c r="D137" s="71"/>
      <c r="E137" s="46">
        <v>6.9444444444444441E-3</v>
      </c>
      <c r="F137" s="47">
        <f>F138-E137</f>
        <v>46177.482638888891</v>
      </c>
    </row>
    <row r="138" spans="1:6" s="12" customFormat="1" ht="12.5" customHeight="1" x14ac:dyDescent="0.25">
      <c r="A138" s="77" t="s">
        <v>121</v>
      </c>
      <c r="C138" s="78"/>
      <c r="D138" s="79"/>
      <c r="E138" s="36">
        <v>0.10416666666666667</v>
      </c>
      <c r="F138" s="209">
        <f>F145-E138</f>
        <v>46177.489583333336</v>
      </c>
    </row>
    <row r="139" spans="1:6" ht="12.5" customHeight="1" x14ac:dyDescent="0.25"/>
    <row r="140" spans="1:6" s="9" customFormat="1" ht="12.5" customHeight="1" x14ac:dyDescent="0.25">
      <c r="A140" s="158" t="s">
        <v>59</v>
      </c>
      <c r="B140" s="58"/>
      <c r="C140" s="59"/>
      <c r="D140" s="52"/>
      <c r="E140" s="30"/>
      <c r="F140" s="31"/>
    </row>
    <row r="141" spans="1:6" s="9" customFormat="1" ht="12.5" customHeight="1" x14ac:dyDescent="0.25">
      <c r="A141" s="53" t="s">
        <v>126</v>
      </c>
      <c r="B141" s="54"/>
      <c r="C141" s="34">
        <v>250</v>
      </c>
      <c r="D141" s="71"/>
      <c r="E141" s="36">
        <v>2.0833333333333332E-2</v>
      </c>
      <c r="F141" s="37">
        <f>F145-E141</f>
        <v>46177.572916666664</v>
      </c>
    </row>
    <row r="142" spans="1:6" s="10" customFormat="1" ht="12.5" hidden="1" customHeight="1" x14ac:dyDescent="0.25">
      <c r="A142" s="66" t="s">
        <v>79</v>
      </c>
      <c r="B142" s="70"/>
      <c r="C142" s="68"/>
      <c r="E142" s="46">
        <v>0</v>
      </c>
      <c r="F142" s="47">
        <f>F145-E142</f>
        <v>46177.59375</v>
      </c>
    </row>
    <row r="143" spans="1:6" s="10" customFormat="1" ht="12.5" customHeight="1" x14ac:dyDescent="0.25">
      <c r="A143" s="70" t="s">
        <v>90</v>
      </c>
      <c r="B143" s="72"/>
      <c r="C143" s="68"/>
      <c r="D143" s="71"/>
      <c r="E143" s="46"/>
      <c r="F143" s="47"/>
    </row>
    <row r="144" spans="1:6" s="10" customFormat="1" ht="12.5" customHeight="1" x14ac:dyDescent="0.25">
      <c r="A144" s="66" t="s">
        <v>127</v>
      </c>
      <c r="B144" s="67"/>
      <c r="C144" s="68"/>
      <c r="D144" s="71"/>
      <c r="E144" s="46"/>
      <c r="F144" s="47"/>
    </row>
    <row r="145" spans="1:14" s="9" customFormat="1" ht="12.5" customHeight="1" x14ac:dyDescent="0.25">
      <c r="A145" s="53" t="s">
        <v>32</v>
      </c>
      <c r="B145" s="33"/>
      <c r="C145" s="34">
        <v>240</v>
      </c>
      <c r="D145" s="56"/>
      <c r="E145" s="36">
        <v>6.9444444444444441E-3</v>
      </c>
      <c r="F145" s="37">
        <f>F147-E145</f>
        <v>46177.59375</v>
      </c>
    </row>
    <row r="146" spans="1:14" s="10" customFormat="1" ht="12.5" customHeight="1" x14ac:dyDescent="0.25">
      <c r="A146" s="66" t="s">
        <v>128</v>
      </c>
      <c r="B146" s="67"/>
      <c r="C146" s="68"/>
      <c r="D146" s="71"/>
      <c r="E146" s="46"/>
      <c r="F146" s="47"/>
    </row>
    <row r="147" spans="1:14" s="9" customFormat="1" ht="12.5" customHeight="1" x14ac:dyDescent="0.25">
      <c r="A147" s="53" t="s">
        <v>33</v>
      </c>
      <c r="B147" s="54"/>
      <c r="C147" s="34">
        <v>210</v>
      </c>
      <c r="D147" s="49"/>
      <c r="E147" s="36">
        <v>2.4305555555555556E-2</v>
      </c>
      <c r="F147" s="37">
        <f>F148-E147</f>
        <v>46177.600694444445</v>
      </c>
    </row>
    <row r="148" spans="1:14" s="9" customFormat="1" ht="12.5" customHeight="1" x14ac:dyDescent="0.25">
      <c r="A148" s="53" t="s">
        <v>34</v>
      </c>
      <c r="B148" s="54"/>
      <c r="C148" s="34"/>
      <c r="D148" s="56"/>
      <c r="E148" s="36"/>
      <c r="F148" s="37">
        <f>F4+F5</f>
        <v>46177.625</v>
      </c>
    </row>
    <row r="149" spans="1:14" s="9" customFormat="1" ht="25" customHeight="1" x14ac:dyDescent="0.25">
      <c r="F149" s="60"/>
    </row>
    <row r="150" spans="1:14" s="164" customFormat="1" ht="12.5" customHeight="1" x14ac:dyDescent="0.3">
      <c r="A150" s="2"/>
      <c r="D150" s="210" t="s">
        <v>69</v>
      </c>
      <c r="E150" s="211"/>
      <c r="F150" s="211"/>
    </row>
    <row r="151" spans="1:14" s="164" customFormat="1" ht="12.5" customHeight="1" x14ac:dyDescent="0.3">
      <c r="A151" s="2"/>
      <c r="D151" s="211"/>
      <c r="E151" s="211"/>
      <c r="F151" s="211"/>
      <c r="G151" s="165"/>
    </row>
    <row r="152" spans="1:14" s="164" customFormat="1" ht="12.5" customHeight="1" x14ac:dyDescent="0.3">
      <c r="A152" s="2"/>
      <c r="D152" s="211"/>
      <c r="E152" s="211"/>
      <c r="F152" s="211"/>
      <c r="G152" s="165"/>
    </row>
    <row r="153" spans="1:14" s="164" customFormat="1" ht="12" customHeight="1" x14ac:dyDescent="0.3">
      <c r="A153" s="2"/>
      <c r="B153" s="2"/>
      <c r="C153" s="2"/>
      <c r="D153" s="2"/>
      <c r="E153" s="2"/>
      <c r="F153" s="2"/>
      <c r="G153" s="165"/>
    </row>
    <row r="154" spans="1:14" s="164" customFormat="1" ht="12" customHeight="1" x14ac:dyDescent="0.3">
      <c r="A154" s="2"/>
      <c r="B154" s="2"/>
      <c r="C154" s="2"/>
      <c r="D154" s="2"/>
      <c r="E154" s="2"/>
      <c r="F154" s="2"/>
      <c r="G154" s="165"/>
    </row>
    <row r="155" spans="1:14" s="164" customFormat="1" ht="12" customHeight="1" x14ac:dyDescent="0.3">
      <c r="A155" s="2"/>
      <c r="B155" s="2"/>
      <c r="C155" s="2"/>
      <c r="D155" s="2"/>
      <c r="E155" s="2"/>
      <c r="F155" s="2"/>
      <c r="G155" s="165"/>
    </row>
    <row r="156" spans="1:14" s="164" customFormat="1" ht="12" customHeight="1" x14ac:dyDescent="0.3">
      <c r="A156" s="2"/>
      <c r="B156" s="2"/>
      <c r="C156" s="2"/>
      <c r="D156" s="2"/>
      <c r="E156" s="2"/>
      <c r="F156" s="2"/>
      <c r="G156" s="165"/>
    </row>
    <row r="157" spans="1:14" s="164" customFormat="1" ht="12" customHeight="1" x14ac:dyDescent="0.3">
      <c r="A157" s="2"/>
      <c r="B157" s="85"/>
      <c r="C157" s="166"/>
      <c r="D157" s="165"/>
      <c r="E157" s="165"/>
      <c r="F157" s="165"/>
      <c r="G157" s="165"/>
    </row>
    <row r="158" spans="1:14" s="164" customFormat="1" ht="12" customHeight="1" x14ac:dyDescent="0.3">
      <c r="B158" s="167"/>
      <c r="C158" s="166"/>
      <c r="D158" s="165"/>
      <c r="E158" s="165"/>
      <c r="F158" s="165"/>
      <c r="G158" s="165"/>
    </row>
    <row r="159" spans="1:14" s="164" customFormat="1" ht="12" hidden="1" customHeight="1" thickBot="1" x14ac:dyDescent="0.35">
      <c r="A159" s="168" t="s">
        <v>40</v>
      </c>
      <c r="B159" s="169"/>
      <c r="C159" s="167" t="s">
        <v>35</v>
      </c>
      <c r="D159" s="167" t="s">
        <v>36</v>
      </c>
      <c r="E159" s="167" t="s">
        <v>37</v>
      </c>
      <c r="F159" s="167" t="s">
        <v>38</v>
      </c>
      <c r="G159" s="167" t="s">
        <v>39</v>
      </c>
      <c r="I159" s="167" t="s">
        <v>64</v>
      </c>
      <c r="J159" s="167" t="s">
        <v>35</v>
      </c>
      <c r="K159" s="167" t="s">
        <v>36</v>
      </c>
      <c r="L159" s="167" t="s">
        <v>37</v>
      </c>
      <c r="M159" s="167" t="s">
        <v>38</v>
      </c>
      <c r="N159" s="167" t="s">
        <v>39</v>
      </c>
    </row>
    <row r="160" spans="1:14" s="164" customFormat="1" ht="12" hidden="1" customHeight="1" x14ac:dyDescent="0.3">
      <c r="A160" s="170" t="s">
        <v>21</v>
      </c>
      <c r="B160" s="171">
        <f>B26</f>
        <v>358</v>
      </c>
      <c r="C160" s="166">
        <f t="shared" ref="C160:C183" si="3">J160/100*$B160</f>
        <v>0</v>
      </c>
      <c r="D160" s="165">
        <f t="shared" ref="D160:D183" si="4">K160/100*$B160</f>
        <v>0</v>
      </c>
      <c r="E160" s="165">
        <f t="shared" ref="E160:E183" si="5">L160/100*$B160</f>
        <v>0</v>
      </c>
      <c r="F160" s="165">
        <f t="shared" ref="F160:F183" si="6">M160/100*$B160</f>
        <v>0</v>
      </c>
      <c r="G160" s="165">
        <f t="shared" ref="G160:G183" si="7">N160/100*$B160</f>
        <v>0</v>
      </c>
      <c r="I160" s="167" t="s">
        <v>21</v>
      </c>
      <c r="J160" s="166">
        <v>0</v>
      </c>
      <c r="K160" s="165">
        <v>0</v>
      </c>
      <c r="L160" s="165">
        <v>0</v>
      </c>
      <c r="M160" s="165">
        <v>0</v>
      </c>
      <c r="N160" s="165">
        <v>0</v>
      </c>
    </row>
    <row r="161" spans="1:14" s="164" customFormat="1" ht="12" hidden="1" customHeight="1" x14ac:dyDescent="0.3">
      <c r="A161" s="172" t="s">
        <v>7</v>
      </c>
      <c r="B161" s="173">
        <f>B9*$F$6</f>
        <v>0</v>
      </c>
      <c r="C161" s="166">
        <f t="shared" si="3"/>
        <v>0</v>
      </c>
      <c r="D161" s="165">
        <f t="shared" si="4"/>
        <v>0</v>
      </c>
      <c r="E161" s="165">
        <f t="shared" si="5"/>
        <v>0</v>
      </c>
      <c r="F161" s="165">
        <f t="shared" si="6"/>
        <v>0</v>
      </c>
      <c r="G161" s="165">
        <f t="shared" si="7"/>
        <v>0</v>
      </c>
      <c r="I161" s="167" t="s">
        <v>7</v>
      </c>
      <c r="J161" s="166">
        <v>350</v>
      </c>
      <c r="K161" s="165">
        <v>71.7</v>
      </c>
      <c r="L161" s="165">
        <v>11.7</v>
      </c>
      <c r="M161" s="165">
        <v>2.2000000000000002</v>
      </c>
      <c r="N161" s="165">
        <v>0.8</v>
      </c>
    </row>
    <row r="162" spans="1:14" s="164" customFormat="1" ht="12" hidden="1" customHeight="1" x14ac:dyDescent="0.3">
      <c r="A162" s="172" t="s">
        <v>9</v>
      </c>
      <c r="B162" s="173">
        <f>(B10+B19)*$F$6</f>
        <v>50</v>
      </c>
      <c r="C162" s="166">
        <f t="shared" si="3"/>
        <v>173.5</v>
      </c>
      <c r="D162" s="165">
        <f t="shared" si="4"/>
        <v>36</v>
      </c>
      <c r="E162" s="165">
        <f t="shared" si="5"/>
        <v>5.3</v>
      </c>
      <c r="F162" s="165">
        <f t="shared" si="6"/>
        <v>1.7500000000000002</v>
      </c>
      <c r="G162" s="165">
        <f t="shared" si="7"/>
        <v>0.55000000000000004</v>
      </c>
      <c r="I162" s="167" t="s">
        <v>9</v>
      </c>
      <c r="J162" s="166">
        <v>347</v>
      </c>
      <c r="K162" s="165">
        <v>72</v>
      </c>
      <c r="L162" s="165">
        <v>10.6</v>
      </c>
      <c r="M162" s="165">
        <v>3.5</v>
      </c>
      <c r="N162" s="165">
        <v>1.1000000000000001</v>
      </c>
    </row>
    <row r="163" spans="1:14" s="164" customFormat="1" ht="12" hidden="1" customHeight="1" x14ac:dyDescent="0.3">
      <c r="A163" s="172" t="s">
        <v>41</v>
      </c>
      <c r="B163" s="173">
        <f>(B11+B18/2)*$F$6</f>
        <v>200</v>
      </c>
      <c r="C163" s="166">
        <f t="shared" si="3"/>
        <v>650</v>
      </c>
      <c r="D163" s="165">
        <f t="shared" si="4"/>
        <v>135.80000000000001</v>
      </c>
      <c r="E163" s="165">
        <f t="shared" si="5"/>
        <v>14.800000000000002</v>
      </c>
      <c r="F163" s="165">
        <f t="shared" si="6"/>
        <v>13.8</v>
      </c>
      <c r="G163" s="165">
        <f t="shared" si="7"/>
        <v>2.2000000000000002</v>
      </c>
      <c r="I163" s="167" t="s">
        <v>41</v>
      </c>
      <c r="J163" s="166">
        <v>325</v>
      </c>
      <c r="K163" s="165">
        <v>67.900000000000006</v>
      </c>
      <c r="L163" s="165">
        <v>7.4</v>
      </c>
      <c r="M163" s="165">
        <v>6.9</v>
      </c>
      <c r="N163" s="165">
        <v>1.1000000000000001</v>
      </c>
    </row>
    <row r="164" spans="1:14" s="164" customFormat="1" ht="12" hidden="1" customHeight="1" x14ac:dyDescent="0.3">
      <c r="A164" s="172" t="s">
        <v>11</v>
      </c>
      <c r="B164" s="173">
        <f>(B12+B17)*$F$6</f>
        <v>50</v>
      </c>
      <c r="C164" s="166">
        <f t="shared" si="3"/>
        <v>177.5</v>
      </c>
      <c r="D164" s="165">
        <f t="shared" si="4"/>
        <v>31.85</v>
      </c>
      <c r="E164" s="165">
        <f t="shared" si="5"/>
        <v>6.35</v>
      </c>
      <c r="F164" s="165">
        <f t="shared" si="6"/>
        <v>4.1500000000000004</v>
      </c>
      <c r="G164" s="165">
        <f t="shared" si="7"/>
        <v>0.85000000000000009</v>
      </c>
      <c r="I164" s="167" t="s">
        <v>11</v>
      </c>
      <c r="J164" s="166">
        <v>355</v>
      </c>
      <c r="K164" s="165">
        <v>63.7</v>
      </c>
      <c r="L164" s="165">
        <v>12.7</v>
      </c>
      <c r="M164" s="165">
        <v>8.3000000000000007</v>
      </c>
      <c r="N164" s="165">
        <v>1.7</v>
      </c>
    </row>
    <row r="165" spans="1:14" s="164" customFormat="1" ht="12" hidden="1" customHeight="1" x14ac:dyDescent="0.3">
      <c r="A165" s="172" t="s">
        <v>24</v>
      </c>
      <c r="B165" s="173">
        <f>B13*$F$6</f>
        <v>0</v>
      </c>
      <c r="C165" s="166">
        <f t="shared" si="3"/>
        <v>0</v>
      </c>
      <c r="D165" s="165">
        <f t="shared" si="4"/>
        <v>0</v>
      </c>
      <c r="E165" s="165">
        <f t="shared" si="5"/>
        <v>0</v>
      </c>
      <c r="F165" s="165">
        <f t="shared" si="6"/>
        <v>0</v>
      </c>
      <c r="G165" s="165">
        <f t="shared" si="7"/>
        <v>0</v>
      </c>
      <c r="I165" s="167" t="s">
        <v>24</v>
      </c>
      <c r="J165" s="166">
        <v>325</v>
      </c>
      <c r="K165" s="165">
        <v>59.5</v>
      </c>
      <c r="L165" s="165">
        <v>11.4</v>
      </c>
      <c r="M165" s="165">
        <v>10</v>
      </c>
      <c r="N165" s="165">
        <v>0.9</v>
      </c>
    </row>
    <row r="166" spans="1:14" s="164" customFormat="1" ht="12" hidden="1" customHeight="1" x14ac:dyDescent="0.3">
      <c r="A166" s="172" t="s">
        <v>13</v>
      </c>
      <c r="B166" s="173">
        <f>(B14+B15/2+B18/2)*$F$6</f>
        <v>200</v>
      </c>
      <c r="C166" s="166">
        <f t="shared" si="3"/>
        <v>646</v>
      </c>
      <c r="D166" s="165">
        <f t="shared" si="4"/>
        <v>121.39999999999999</v>
      </c>
      <c r="E166" s="165">
        <f t="shared" si="5"/>
        <v>19</v>
      </c>
      <c r="F166" s="165">
        <f t="shared" si="6"/>
        <v>26.8</v>
      </c>
      <c r="G166" s="165">
        <f t="shared" si="7"/>
        <v>2.06</v>
      </c>
      <c r="I166" s="167" t="s">
        <v>13</v>
      </c>
      <c r="J166" s="166">
        <v>323</v>
      </c>
      <c r="K166" s="165">
        <v>60.7</v>
      </c>
      <c r="L166" s="165">
        <v>9.5</v>
      </c>
      <c r="M166" s="165">
        <v>13.4</v>
      </c>
      <c r="N166" s="165">
        <v>1.03</v>
      </c>
    </row>
    <row r="167" spans="1:14" s="164" customFormat="1" ht="12" hidden="1" customHeight="1" x14ac:dyDescent="0.3">
      <c r="A167" s="172" t="s">
        <v>63</v>
      </c>
      <c r="B167" s="173">
        <f>B116</f>
        <v>0</v>
      </c>
      <c r="C167" s="166">
        <f t="shared" si="3"/>
        <v>0</v>
      </c>
      <c r="D167" s="165">
        <f t="shared" si="4"/>
        <v>0</v>
      </c>
      <c r="E167" s="165">
        <f t="shared" si="5"/>
        <v>0</v>
      </c>
      <c r="F167" s="165">
        <f t="shared" si="6"/>
        <v>0</v>
      </c>
      <c r="G167" s="165">
        <f t="shared" si="7"/>
        <v>0</v>
      </c>
      <c r="I167" s="167" t="s">
        <v>63</v>
      </c>
      <c r="J167" s="166">
        <v>200</v>
      </c>
      <c r="K167" s="165">
        <v>3.5</v>
      </c>
      <c r="L167" s="165">
        <v>2</v>
      </c>
      <c r="M167" s="165">
        <v>85</v>
      </c>
      <c r="N167" s="165">
        <v>1.5</v>
      </c>
    </row>
    <row r="168" spans="1:14" s="164" customFormat="1" ht="12" hidden="1" customHeight="1" x14ac:dyDescent="0.3">
      <c r="A168" s="172" t="s">
        <v>42</v>
      </c>
      <c r="B168" s="173">
        <f>B115</f>
        <v>2.5</v>
      </c>
      <c r="C168" s="166">
        <f t="shared" si="3"/>
        <v>3.1749999999999998</v>
      </c>
      <c r="D168" s="165">
        <f t="shared" si="4"/>
        <v>0.3125</v>
      </c>
      <c r="E168" s="165">
        <f t="shared" si="5"/>
        <v>0.27750000000000002</v>
      </c>
      <c r="F168" s="165">
        <f t="shared" si="6"/>
        <v>0.255</v>
      </c>
      <c r="G168" s="165">
        <f t="shared" si="7"/>
        <v>0.05</v>
      </c>
      <c r="I168" s="167" t="s">
        <v>42</v>
      </c>
      <c r="J168" s="166">
        <v>127</v>
      </c>
      <c r="K168" s="165">
        <v>12.5</v>
      </c>
      <c r="L168" s="165">
        <v>11.1</v>
      </c>
      <c r="M168" s="165">
        <v>10.199999999999999</v>
      </c>
      <c r="N168" s="165">
        <v>2</v>
      </c>
    </row>
    <row r="169" spans="1:14" s="164" customFormat="1" ht="12" hidden="1" customHeight="1" x14ac:dyDescent="0.3">
      <c r="A169" s="172" t="s">
        <v>27</v>
      </c>
      <c r="B169" s="173">
        <f>B120</f>
        <v>7.240000000000002</v>
      </c>
      <c r="C169" s="166">
        <f t="shared" si="3"/>
        <v>0</v>
      </c>
      <c r="D169" s="165">
        <f t="shared" si="4"/>
        <v>0</v>
      </c>
      <c r="E169" s="165">
        <f t="shared" si="5"/>
        <v>0</v>
      </c>
      <c r="F169" s="165">
        <f t="shared" si="6"/>
        <v>0</v>
      </c>
      <c r="G169" s="165">
        <f t="shared" si="7"/>
        <v>0</v>
      </c>
      <c r="I169" s="167" t="s">
        <v>27</v>
      </c>
      <c r="J169" s="166">
        <v>0</v>
      </c>
      <c r="K169" s="165">
        <v>0</v>
      </c>
      <c r="L169" s="165">
        <v>0</v>
      </c>
      <c r="M169" s="165">
        <v>0</v>
      </c>
      <c r="N169" s="165">
        <v>0</v>
      </c>
    </row>
    <row r="170" spans="1:14" s="164" customFormat="1" ht="12" hidden="1" customHeight="1" x14ac:dyDescent="0.3">
      <c r="A170" s="172" t="s">
        <v>43</v>
      </c>
      <c r="B170" s="173">
        <f>0</f>
        <v>0</v>
      </c>
      <c r="C170" s="166">
        <f t="shared" si="3"/>
        <v>0</v>
      </c>
      <c r="D170" s="165">
        <f t="shared" si="4"/>
        <v>0</v>
      </c>
      <c r="E170" s="165">
        <f t="shared" si="5"/>
        <v>0</v>
      </c>
      <c r="F170" s="165">
        <f t="shared" si="6"/>
        <v>0</v>
      </c>
      <c r="G170" s="165">
        <f t="shared" si="7"/>
        <v>0</v>
      </c>
      <c r="I170" s="167" t="s">
        <v>43</v>
      </c>
      <c r="J170" s="166">
        <v>304</v>
      </c>
      <c r="K170" s="165">
        <v>82.4</v>
      </c>
      <c r="L170" s="165">
        <v>0.3</v>
      </c>
      <c r="M170" s="165">
        <v>0.2</v>
      </c>
      <c r="N170" s="165">
        <v>0</v>
      </c>
    </row>
    <row r="171" spans="1:14" s="164" customFormat="1" ht="12" hidden="1" customHeight="1" x14ac:dyDescent="0.3">
      <c r="A171" s="172" t="s">
        <v>8</v>
      </c>
      <c r="B171" s="173">
        <f>F9*$F$6</f>
        <v>0</v>
      </c>
      <c r="C171" s="166">
        <f t="shared" si="3"/>
        <v>0</v>
      </c>
      <c r="D171" s="165">
        <f t="shared" si="4"/>
        <v>0</v>
      </c>
      <c r="E171" s="165">
        <f t="shared" si="5"/>
        <v>0</v>
      </c>
      <c r="F171" s="165">
        <f t="shared" si="6"/>
        <v>0</v>
      </c>
      <c r="G171" s="165">
        <f t="shared" si="7"/>
        <v>0</v>
      </c>
      <c r="I171" s="167" t="s">
        <v>8</v>
      </c>
      <c r="J171" s="166">
        <v>213</v>
      </c>
      <c r="K171" s="165">
        <v>43</v>
      </c>
      <c r="L171" s="165">
        <v>6.6</v>
      </c>
      <c r="M171" s="165">
        <v>5</v>
      </c>
      <c r="N171" s="165">
        <v>0.9</v>
      </c>
    </row>
    <row r="172" spans="1:14" s="164" customFormat="1" ht="12" hidden="1" customHeight="1" x14ac:dyDescent="0.3">
      <c r="A172" s="172" t="s">
        <v>44</v>
      </c>
      <c r="B172" s="173">
        <v>0</v>
      </c>
      <c r="C172" s="166">
        <f t="shared" si="3"/>
        <v>0</v>
      </c>
      <c r="D172" s="165">
        <f t="shared" si="4"/>
        <v>0</v>
      </c>
      <c r="E172" s="165">
        <f t="shared" si="5"/>
        <v>0</v>
      </c>
      <c r="F172" s="165">
        <f t="shared" si="6"/>
        <v>0</v>
      </c>
      <c r="G172" s="165">
        <f t="shared" si="7"/>
        <v>0</v>
      </c>
      <c r="I172" s="167" t="s">
        <v>44</v>
      </c>
      <c r="J172" s="166">
        <v>598</v>
      </c>
      <c r="K172" s="165">
        <v>10.199999999999999</v>
      </c>
      <c r="L172" s="165">
        <v>20</v>
      </c>
      <c r="M172" s="165">
        <v>12</v>
      </c>
      <c r="N172" s="165">
        <v>50.7</v>
      </c>
    </row>
    <row r="173" spans="1:14" s="164" customFormat="1" ht="12" hidden="1" customHeight="1" x14ac:dyDescent="0.3">
      <c r="A173" s="172" t="s">
        <v>45</v>
      </c>
      <c r="B173" s="173">
        <f>B93</f>
        <v>0</v>
      </c>
      <c r="C173" s="166">
        <f t="shared" si="3"/>
        <v>0</v>
      </c>
      <c r="D173" s="165">
        <f t="shared" si="4"/>
        <v>0</v>
      </c>
      <c r="E173" s="165">
        <f t="shared" si="5"/>
        <v>0</v>
      </c>
      <c r="F173" s="165">
        <f t="shared" si="6"/>
        <v>0</v>
      </c>
      <c r="G173" s="165">
        <f t="shared" si="7"/>
        <v>0</v>
      </c>
      <c r="I173" s="167" t="s">
        <v>45</v>
      </c>
      <c r="J173" s="166">
        <v>500</v>
      </c>
      <c r="K173" s="165">
        <v>7.8</v>
      </c>
      <c r="L173" s="165">
        <v>23</v>
      </c>
      <c r="M173" s="165">
        <v>27.5</v>
      </c>
      <c r="N173" s="165">
        <v>37</v>
      </c>
    </row>
    <row r="174" spans="1:14" s="164" customFormat="1" ht="12" hidden="1" customHeight="1" x14ac:dyDescent="0.3">
      <c r="A174" s="172" t="s">
        <v>46</v>
      </c>
      <c r="B174" s="173">
        <v>0</v>
      </c>
      <c r="C174" s="166">
        <f t="shared" si="3"/>
        <v>0</v>
      </c>
      <c r="D174" s="165">
        <f t="shared" si="4"/>
        <v>0</v>
      </c>
      <c r="E174" s="165">
        <f t="shared" si="5"/>
        <v>0</v>
      </c>
      <c r="F174" s="165">
        <f t="shared" si="6"/>
        <v>0</v>
      </c>
      <c r="G174" s="165">
        <f t="shared" si="7"/>
        <v>0</v>
      </c>
      <c r="I174" s="167" t="s">
        <v>46</v>
      </c>
      <c r="J174" s="166">
        <v>533</v>
      </c>
      <c r="K174" s="165">
        <v>23.69</v>
      </c>
      <c r="L174" s="165">
        <v>18.04</v>
      </c>
      <c r="M174" s="165">
        <v>10</v>
      </c>
      <c r="N174" s="165">
        <v>44.7</v>
      </c>
    </row>
    <row r="175" spans="1:14" s="164" customFormat="1" ht="12" hidden="1" customHeight="1" x14ac:dyDescent="0.3">
      <c r="A175" s="172" t="s">
        <v>47</v>
      </c>
      <c r="B175" s="173">
        <v>0</v>
      </c>
      <c r="C175" s="166">
        <f t="shared" si="3"/>
        <v>0</v>
      </c>
      <c r="D175" s="165">
        <f t="shared" si="4"/>
        <v>0</v>
      </c>
      <c r="E175" s="165">
        <f t="shared" si="5"/>
        <v>0</v>
      </c>
      <c r="F175" s="165">
        <f t="shared" si="6"/>
        <v>0</v>
      </c>
      <c r="G175" s="165">
        <f t="shared" si="7"/>
        <v>0</v>
      </c>
      <c r="I175" s="167" t="s">
        <v>47</v>
      </c>
      <c r="J175" s="166">
        <v>584</v>
      </c>
      <c r="K175" s="165">
        <v>11.4</v>
      </c>
      <c r="L175" s="165">
        <v>20.8</v>
      </c>
      <c r="M175" s="165">
        <v>8.6</v>
      </c>
      <c r="N175" s="165">
        <v>51.5</v>
      </c>
    </row>
    <row r="176" spans="1:14" s="164" customFormat="1" ht="12" hidden="1" customHeight="1" x14ac:dyDescent="0.3">
      <c r="A176" s="172" t="s">
        <v>66</v>
      </c>
      <c r="B176" s="173">
        <f>B93</f>
        <v>0</v>
      </c>
      <c r="C176" s="166">
        <f t="shared" ref="C176" si="8">J176/100*$B176</f>
        <v>0</v>
      </c>
      <c r="D176" s="165">
        <f t="shared" ref="D176" si="9">K176/100*$B176</f>
        <v>0</v>
      </c>
      <c r="E176" s="165">
        <f t="shared" ref="E176" si="10">L176/100*$B176</f>
        <v>0</v>
      </c>
      <c r="F176" s="165">
        <f t="shared" ref="F176" si="11">M176/100*$B176</f>
        <v>0</v>
      </c>
      <c r="G176" s="165">
        <f t="shared" ref="G176" si="12">N176/100*$B176</f>
        <v>0</v>
      </c>
      <c r="I176" s="167" t="s">
        <v>66</v>
      </c>
      <c r="J176" s="166">
        <v>620</v>
      </c>
      <c r="K176" s="165">
        <v>19</v>
      </c>
      <c r="L176" s="165">
        <v>17</v>
      </c>
      <c r="M176" s="165">
        <v>7.5</v>
      </c>
      <c r="N176" s="165">
        <v>53</v>
      </c>
    </row>
    <row r="177" spans="1:14" s="164" customFormat="1" ht="12" hidden="1" customHeight="1" x14ac:dyDescent="0.3">
      <c r="A177" s="172" t="s">
        <v>48</v>
      </c>
      <c r="B177" s="173">
        <f>B80</f>
        <v>0</v>
      </c>
      <c r="C177" s="166">
        <f t="shared" si="3"/>
        <v>0</v>
      </c>
      <c r="D177" s="165">
        <f t="shared" si="4"/>
        <v>0</v>
      </c>
      <c r="E177" s="165">
        <f t="shared" si="5"/>
        <v>0</v>
      </c>
      <c r="F177" s="165">
        <f t="shared" si="6"/>
        <v>0</v>
      </c>
      <c r="G177" s="165">
        <f t="shared" si="7"/>
        <v>0</v>
      </c>
      <c r="I177" s="167" t="s">
        <v>48</v>
      </c>
      <c r="J177" s="166">
        <v>371</v>
      </c>
      <c r="K177" s="165">
        <v>58.7</v>
      </c>
      <c r="L177" s="165">
        <v>13.5</v>
      </c>
      <c r="M177" s="165">
        <v>10</v>
      </c>
      <c r="N177" s="165">
        <v>7</v>
      </c>
    </row>
    <row r="178" spans="1:14" s="164" customFormat="1" ht="12" hidden="1" customHeight="1" x14ac:dyDescent="0.3">
      <c r="A178" s="172" t="s">
        <v>49</v>
      </c>
      <c r="B178" s="173">
        <v>0</v>
      </c>
      <c r="C178" s="166">
        <f t="shared" si="3"/>
        <v>0</v>
      </c>
      <c r="D178" s="165">
        <f t="shared" si="4"/>
        <v>0</v>
      </c>
      <c r="E178" s="165">
        <f t="shared" si="5"/>
        <v>0</v>
      </c>
      <c r="F178" s="165">
        <f t="shared" si="6"/>
        <v>0</v>
      </c>
      <c r="G178" s="165">
        <f t="shared" si="7"/>
        <v>0</v>
      </c>
      <c r="I178" s="167" t="s">
        <v>49</v>
      </c>
      <c r="J178" s="166">
        <v>352</v>
      </c>
      <c r="K178" s="165">
        <v>66.400000000000006</v>
      </c>
      <c r="L178" s="165">
        <v>11.9</v>
      </c>
      <c r="M178" s="165">
        <v>0</v>
      </c>
      <c r="N178" s="165">
        <v>2.8</v>
      </c>
    </row>
    <row r="179" spans="1:14" s="164" customFormat="1" ht="12" hidden="1" customHeight="1" x14ac:dyDescent="0.3">
      <c r="A179" s="172" t="s">
        <v>50</v>
      </c>
      <c r="B179" s="173">
        <f>B87</f>
        <v>0</v>
      </c>
      <c r="C179" s="166">
        <f t="shared" si="3"/>
        <v>0</v>
      </c>
      <c r="D179" s="165">
        <f t="shared" si="4"/>
        <v>0</v>
      </c>
      <c r="E179" s="165">
        <f t="shared" si="5"/>
        <v>0</v>
      </c>
      <c r="F179" s="165">
        <f t="shared" si="6"/>
        <v>0</v>
      </c>
      <c r="G179" s="165">
        <f t="shared" si="7"/>
        <v>0</v>
      </c>
      <c r="I179" s="167" t="s">
        <v>50</v>
      </c>
      <c r="J179" s="166">
        <v>327</v>
      </c>
      <c r="K179" s="165">
        <v>59.6</v>
      </c>
      <c r="L179" s="165">
        <v>11.4</v>
      </c>
      <c r="M179" s="165">
        <v>0</v>
      </c>
      <c r="N179" s="165">
        <v>1.8</v>
      </c>
    </row>
    <row r="180" spans="1:14" s="164" customFormat="1" ht="12" hidden="1" customHeight="1" x14ac:dyDescent="0.3">
      <c r="A180" s="172" t="s">
        <v>51</v>
      </c>
      <c r="B180" s="173">
        <v>0</v>
      </c>
      <c r="C180" s="166">
        <f t="shared" si="3"/>
        <v>0</v>
      </c>
      <c r="D180" s="165">
        <f t="shared" si="4"/>
        <v>0</v>
      </c>
      <c r="E180" s="165">
        <f t="shared" si="5"/>
        <v>0</v>
      </c>
      <c r="F180" s="165">
        <f t="shared" si="6"/>
        <v>0</v>
      </c>
      <c r="G180" s="165">
        <f t="shared" si="7"/>
        <v>0</v>
      </c>
      <c r="I180" s="167" t="s">
        <v>51</v>
      </c>
      <c r="J180" s="166">
        <v>330</v>
      </c>
      <c r="K180" s="165">
        <v>63.3</v>
      </c>
      <c r="L180" s="165">
        <v>8.8000000000000007</v>
      </c>
      <c r="M180" s="165">
        <v>0</v>
      </c>
      <c r="N180" s="165">
        <v>1.8</v>
      </c>
    </row>
    <row r="181" spans="1:14" s="164" customFormat="1" ht="12" hidden="1" customHeight="1" x14ac:dyDescent="0.3">
      <c r="A181" s="172" t="s">
        <v>52</v>
      </c>
      <c r="B181" s="173">
        <v>0</v>
      </c>
      <c r="C181" s="166">
        <f t="shared" si="3"/>
        <v>0</v>
      </c>
      <c r="D181" s="165">
        <f t="shared" si="4"/>
        <v>0</v>
      </c>
      <c r="E181" s="165">
        <f t="shared" si="5"/>
        <v>0</v>
      </c>
      <c r="F181" s="165">
        <f t="shared" si="6"/>
        <v>0</v>
      </c>
      <c r="G181" s="165">
        <f t="shared" si="7"/>
        <v>0</v>
      </c>
      <c r="I181" s="167" t="s">
        <v>52</v>
      </c>
      <c r="J181" s="166">
        <v>347</v>
      </c>
      <c r="K181" s="165">
        <v>63</v>
      </c>
      <c r="L181" s="165">
        <v>17</v>
      </c>
      <c r="M181" s="165">
        <v>9.9</v>
      </c>
      <c r="N181" s="165">
        <v>2.7</v>
      </c>
    </row>
    <row r="182" spans="1:14" s="164" customFormat="1" ht="12" hidden="1" customHeight="1" x14ac:dyDescent="0.3">
      <c r="A182" s="172" t="s">
        <v>53</v>
      </c>
      <c r="B182" s="173">
        <v>0</v>
      </c>
      <c r="C182" s="166">
        <f t="shared" si="3"/>
        <v>0</v>
      </c>
      <c r="D182" s="165">
        <f t="shared" si="4"/>
        <v>0</v>
      </c>
      <c r="E182" s="165">
        <f t="shared" si="5"/>
        <v>0</v>
      </c>
      <c r="F182" s="165">
        <f t="shared" si="6"/>
        <v>0</v>
      </c>
      <c r="G182" s="165">
        <f t="shared" si="7"/>
        <v>0</v>
      </c>
      <c r="I182" s="167" t="s">
        <v>53</v>
      </c>
      <c r="J182" s="166">
        <v>713</v>
      </c>
      <c r="K182" s="165">
        <v>0.5</v>
      </c>
      <c r="L182" s="165">
        <v>0.4</v>
      </c>
      <c r="M182" s="165">
        <v>0</v>
      </c>
      <c r="N182" s="165">
        <v>79</v>
      </c>
    </row>
    <row r="183" spans="1:14" s="164" customFormat="1" ht="12" hidden="1" customHeight="1" thickBot="1" x14ac:dyDescent="0.35">
      <c r="A183" s="174" t="s">
        <v>54</v>
      </c>
      <c r="B183" s="175">
        <v>0</v>
      </c>
      <c r="C183" s="166">
        <f t="shared" si="3"/>
        <v>0</v>
      </c>
      <c r="D183" s="165">
        <f t="shared" si="4"/>
        <v>0</v>
      </c>
      <c r="E183" s="165">
        <f t="shared" si="5"/>
        <v>0</v>
      </c>
      <c r="F183" s="165">
        <f t="shared" si="6"/>
        <v>0</v>
      </c>
      <c r="G183" s="165">
        <f t="shared" si="7"/>
        <v>0</v>
      </c>
      <c r="I183" s="167" t="s">
        <v>54</v>
      </c>
      <c r="J183" s="166">
        <v>32</v>
      </c>
      <c r="K183" s="165">
        <v>7.7</v>
      </c>
      <c r="L183" s="165">
        <v>2.7E-2</v>
      </c>
      <c r="M183" s="165">
        <v>0.31</v>
      </c>
      <c r="N183" s="165">
        <v>0.05</v>
      </c>
    </row>
    <row r="184" spans="1:14" s="164" customFormat="1" ht="12" hidden="1" customHeight="1" x14ac:dyDescent="0.3">
      <c r="A184" s="167" t="s">
        <v>55</v>
      </c>
      <c r="B184" s="176">
        <f>SUM(B160:B183)</f>
        <v>867.74</v>
      </c>
      <c r="C184" s="166">
        <f>SUM(C160:C183)</f>
        <v>1650.175</v>
      </c>
      <c r="D184" s="166">
        <f t="shared" ref="D184:G184" si="13">SUM(D160:D183)</f>
        <v>325.36250000000001</v>
      </c>
      <c r="E184" s="166">
        <f t="shared" si="13"/>
        <v>45.727500000000006</v>
      </c>
      <c r="F184" s="166">
        <f t="shared" si="13"/>
        <v>46.755000000000003</v>
      </c>
      <c r="G184" s="166">
        <f t="shared" si="13"/>
        <v>5.71</v>
      </c>
      <c r="I184" s="167"/>
      <c r="J184" s="177"/>
    </row>
    <row r="185" spans="1:14" s="164" customFormat="1" ht="12" hidden="1" customHeight="1" x14ac:dyDescent="0.3">
      <c r="A185" s="167" t="s">
        <v>56</v>
      </c>
      <c r="B185" s="177">
        <v>0.13</v>
      </c>
    </row>
    <row r="186" spans="1:14" s="164" customFormat="1" ht="12" hidden="1" customHeight="1" x14ac:dyDescent="0.3">
      <c r="A186" s="167" t="s">
        <v>57</v>
      </c>
      <c r="B186" s="176">
        <f>B184-B184*B185</f>
        <v>754.93380000000002</v>
      </c>
    </row>
    <row r="187" spans="1:14" s="167" customFormat="1" ht="12" hidden="1" customHeight="1" x14ac:dyDescent="0.3">
      <c r="A187" s="167" t="s">
        <v>58</v>
      </c>
      <c r="B187" s="177">
        <v>0.03</v>
      </c>
    </row>
    <row r="189" spans="1:14" ht="12" customHeight="1" x14ac:dyDescent="0.25">
      <c r="A189" s="73"/>
    </row>
  </sheetData>
  <sheetProtection algorithmName="SHA-512" hashValue="hOR4EIF/zLvFrgXE8BgTaOjy7zFLw5hNw4kjkW5VKziQBqfwLFnjfrlGzrIDdMm/uiA8AaewM64HEvY+7YQ6BQ==" saltValue="7lV4tkV/QSZzxKhpa5ZVlA==" spinCount="100000" sheet="1" objects="1" scenarios="1"/>
  <mergeCells count="10">
    <mergeCell ref="D150:F152"/>
    <mergeCell ref="A1:F1"/>
    <mergeCell ref="D4:E4"/>
    <mergeCell ref="D5:E5"/>
    <mergeCell ref="A3:F3"/>
    <mergeCell ref="A8:B8"/>
    <mergeCell ref="D8:F8"/>
    <mergeCell ref="A16:B16"/>
    <mergeCell ref="F63:F99"/>
    <mergeCell ref="D17:F20"/>
  </mergeCells>
  <conditionalFormatting sqref="A108 C108:F108">
    <cfRule type="expression" dxfId="19" priority="5">
      <formula>$F$10=0</formula>
    </cfRule>
  </conditionalFormatting>
  <conditionalFormatting sqref="A124">
    <cfRule type="expression" dxfId="18" priority="179">
      <formula>($F$12+$F$11)=0</formula>
    </cfRule>
  </conditionalFormatting>
  <conditionalFormatting sqref="A126 C126:F126">
    <cfRule type="expression" dxfId="17" priority="7">
      <formula>$F$12=0</formula>
    </cfRule>
  </conditionalFormatting>
  <conditionalFormatting sqref="A61:D61">
    <cfRule type="expression" dxfId="16" priority="19">
      <formula>$B$19=0</formula>
    </cfRule>
  </conditionalFormatting>
  <conditionalFormatting sqref="A78:D78 A79:E82">
    <cfRule type="expression" dxfId="15" priority="170">
      <formula>$F$10=0</formula>
    </cfRule>
  </conditionalFormatting>
  <conditionalFormatting sqref="A71:E75">
    <cfRule type="expression" dxfId="14" priority="6">
      <formula>$F$9=0</formula>
    </cfRule>
  </conditionalFormatting>
  <conditionalFormatting sqref="A76:E76">
    <cfRule type="expression" dxfId="13" priority="70">
      <formula>$F$9=0</formula>
    </cfRule>
  </conditionalFormatting>
  <conditionalFormatting sqref="A85:E89">
    <cfRule type="expression" dxfId="12" priority="15">
      <formula>$F$11=0</formula>
    </cfRule>
  </conditionalFormatting>
  <conditionalFormatting sqref="A92:E99">
    <cfRule type="expression" dxfId="11" priority="11">
      <formula>$F$12=0</formula>
    </cfRule>
  </conditionalFormatting>
  <conditionalFormatting sqref="A56:F60 E61:F61">
    <cfRule type="expression" dxfId="10" priority="3">
      <formula>$B$19=0</formula>
    </cfRule>
  </conditionalFormatting>
  <conditionalFormatting sqref="A60:F60">
    <cfRule type="expression" dxfId="9" priority="20">
      <formula>$B$17=0</formula>
    </cfRule>
  </conditionalFormatting>
  <conditionalFormatting sqref="A104:F105">
    <cfRule type="expression" dxfId="8" priority="138">
      <formula>$B$40=0</formula>
    </cfRule>
  </conditionalFormatting>
  <conditionalFormatting sqref="A105:F105">
    <cfRule type="expression" dxfId="7" priority="2">
      <formula>$B$19=0</formula>
    </cfRule>
  </conditionalFormatting>
  <conditionalFormatting sqref="A106:F106">
    <cfRule type="expression" dxfId="6" priority="57">
      <formula>$B$17=0</formula>
    </cfRule>
  </conditionalFormatting>
  <conditionalFormatting sqref="A107:F107">
    <cfRule type="expression" dxfId="5" priority="48">
      <formula>$F$9=0</formula>
    </cfRule>
  </conditionalFormatting>
  <conditionalFormatting sqref="A109:F114">
    <cfRule type="expression" dxfId="4" priority="45">
      <formula>$B9=0</formula>
    </cfRule>
  </conditionalFormatting>
  <conditionalFormatting sqref="A116:F116">
    <cfRule type="expression" dxfId="3" priority="55">
      <formula>$F$13=0</formula>
    </cfRule>
  </conditionalFormatting>
  <conditionalFormatting sqref="A125:XFD125">
    <cfRule type="expression" dxfId="2" priority="1">
      <formula>$F$11=0</formula>
    </cfRule>
  </conditionalFormatting>
  <conditionalFormatting sqref="B77:E77">
    <cfRule type="expression" dxfId="1" priority="174">
      <formula>$F$10=0</formula>
    </cfRule>
  </conditionalFormatting>
  <conditionalFormatting sqref="E61:F61 A64:E68">
    <cfRule type="expression" dxfId="0" priority="4">
      <formula>$B$17=0</formula>
    </cfRule>
  </conditionalFormatting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  <rowBreaks count="2" manualBreakCount="2">
    <brk id="37" max="16383" man="1"/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MeinBrot40.2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2026-06-04T11:11:27Z</cp:lastPrinted>
  <dcterms:created xsi:type="dcterms:W3CDTF">2025-04-29T22:05:03Z</dcterms:created>
  <dcterms:modified xsi:type="dcterms:W3CDTF">2026-06-09T11:58:21Z</dcterms:modified>
  <cp:category/>
  <cp:contentStatus/>
</cp:coreProperties>
</file>